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5" windowWidth="11355" windowHeight="8445" activeTab="0"/>
  </bookViews>
  <sheets>
    <sheet name="Totaal" sheetId="1" r:id="rId1"/>
    <sheet name="NK medailles" sheetId="2" r:id="rId2"/>
    <sheet name="EK-WK" sheetId="3" r:id="rId3"/>
    <sheet name="Aquathlon" sheetId="4" r:id="rId4"/>
    <sheet name="Zwemmen" sheetId="5" r:id="rId5"/>
    <sheet name="Lopen" sheetId="6" r:id="rId6"/>
    <sheet name="Fietsen" sheetId="7" r:id="rId7"/>
    <sheet name="Schaatsen" sheetId="8" r:id="rId8"/>
    <sheet name="Circuits" sheetId="9" r:id="rId9"/>
    <sheet name="DNF" sheetId="10" r:id="rId10"/>
  </sheets>
  <definedNames>
    <definedName name="_xlnm._FilterDatabase" localSheetId="8" hidden="1">'Circuits'!$B$1:$G$29</definedName>
    <definedName name="_xlnm._FilterDatabase" localSheetId="6" hidden="1">'Fietsen'!$A$1:$N$1</definedName>
    <definedName name="_xlnm._FilterDatabase" localSheetId="5" hidden="1">'Lopen'!$A$1:$N$146</definedName>
    <definedName name="_xlnm._FilterDatabase" localSheetId="0" hidden="1">'Totaal'!$A$11:$R$501</definedName>
    <definedName name="_xlnm._FilterDatabase" localSheetId="4" hidden="1">'Zwemmen'!$A$1:$N$135</definedName>
    <definedName name="CRITERIA" localSheetId="0">'Totaal'!$D$11</definedName>
    <definedName name="EXTRACT" localSheetId="0">'Totaal'!$S:$S</definedName>
  </definedNames>
  <calcPr fullCalcOnLoad="1"/>
</workbook>
</file>

<file path=xl/sharedStrings.xml><?xml version="1.0" encoding="utf-8"?>
<sst xmlns="http://schemas.openxmlformats.org/spreadsheetml/2006/main" count="3531" uniqueCount="620">
  <si>
    <t>Type</t>
  </si>
  <si>
    <t>Z</t>
  </si>
  <si>
    <t>W</t>
  </si>
  <si>
    <t>L</t>
  </si>
  <si>
    <t>Nr</t>
  </si>
  <si>
    <t>Tijd 1</t>
  </si>
  <si>
    <t>Transition</t>
  </si>
  <si>
    <t>Time 2</t>
  </si>
  <si>
    <t>Time3</t>
  </si>
  <si>
    <t>Time Overall</t>
  </si>
  <si>
    <t>Date</t>
  </si>
  <si>
    <t>Location</t>
  </si>
  <si>
    <t>Note</t>
  </si>
  <si>
    <t>Doetinchem</t>
  </si>
  <si>
    <t>Distances</t>
  </si>
  <si>
    <t>Position</t>
  </si>
  <si>
    <t>1-45-10.5</t>
  </si>
  <si>
    <t>(km)</t>
  </si>
  <si>
    <t>s Heerenberg</t>
  </si>
  <si>
    <t>0.5-22.5-5</t>
  </si>
  <si>
    <t>Missing info</t>
  </si>
  <si>
    <t>Doesburg</t>
  </si>
  <si>
    <t>Lichtenvoorde</t>
  </si>
  <si>
    <t>Wehl</t>
  </si>
  <si>
    <t>Laren</t>
  </si>
  <si>
    <t>Enschede</t>
  </si>
  <si>
    <t>Utrecht</t>
  </si>
  <si>
    <t>NK Studenten</t>
  </si>
  <si>
    <t>Neede</t>
  </si>
  <si>
    <t>kort</t>
  </si>
  <si>
    <t>Zieuwent</t>
  </si>
  <si>
    <t>Groenlo</t>
  </si>
  <si>
    <t>Nieuwegein</t>
  </si>
  <si>
    <t>NK</t>
  </si>
  <si>
    <t>Tubbergen</t>
  </si>
  <si>
    <t>SPC</t>
  </si>
  <si>
    <t>Bemmel</t>
  </si>
  <si>
    <t>SPC OK</t>
  </si>
  <si>
    <t>Holten</t>
  </si>
  <si>
    <t>Wijchen</t>
  </si>
  <si>
    <t>OGTC</t>
  </si>
  <si>
    <t>Tegelen</t>
  </si>
  <si>
    <t>Jaar</t>
  </si>
  <si>
    <t>Naam</t>
  </si>
  <si>
    <t>Positie</t>
  </si>
  <si>
    <t>Oost Gelders Triatlon Circuit</t>
  </si>
  <si>
    <t>Punten</t>
  </si>
  <si>
    <t>Tijd</t>
  </si>
  <si>
    <t>Elite Circuit</t>
  </si>
  <si>
    <t>Super Prestige Circuit</t>
  </si>
  <si>
    <t>Off road</t>
  </si>
  <si>
    <t>Hengelo</t>
  </si>
  <si>
    <t>Road</t>
  </si>
  <si>
    <t>Snertloop Pax</t>
  </si>
  <si>
    <t>Speed</t>
  </si>
  <si>
    <t>Gaanderen</t>
  </si>
  <si>
    <t>5-30-5</t>
  </si>
  <si>
    <t>Apeldoorn</t>
  </si>
  <si>
    <t>km/h</t>
  </si>
  <si>
    <t>km</t>
  </si>
  <si>
    <t>1990-1991</t>
  </si>
  <si>
    <t>Euregio Duatlon Circuit</t>
  </si>
  <si>
    <t>7-30-3,5</t>
  </si>
  <si>
    <t>1-40-10</t>
  </si>
  <si>
    <t>1-45-10,5</t>
  </si>
  <si>
    <t>Hengelo G</t>
  </si>
  <si>
    <t>Beek</t>
  </si>
  <si>
    <t>1-45-10</t>
  </si>
  <si>
    <t>Delft</t>
  </si>
  <si>
    <t>7-30-3</t>
  </si>
  <si>
    <t>Baan</t>
  </si>
  <si>
    <t>Winterswijk</t>
  </si>
  <si>
    <t>Vorden</t>
  </si>
  <si>
    <t>Barend de Matterloop</t>
  </si>
  <si>
    <t>7-20-3.5</t>
  </si>
  <si>
    <t>Paxloop</t>
  </si>
  <si>
    <t>1-50-10</t>
  </si>
  <si>
    <t>5,7-30-4,3</t>
  </si>
  <si>
    <t>5-34-5</t>
  </si>
  <si>
    <t>Hoge Lage Torenloop</t>
  </si>
  <si>
    <t>Bata</t>
  </si>
  <si>
    <t>1-44,2-9</t>
  </si>
  <si>
    <t>1-43,3-10,5</t>
  </si>
  <si>
    <t>1-44,6-10</t>
  </si>
  <si>
    <t>1-44-10,5</t>
  </si>
  <si>
    <t>1-46,8-9,8</t>
  </si>
  <si>
    <t>1,9-90-21</t>
  </si>
  <si>
    <t>1-41,4-9</t>
  </si>
  <si>
    <t>Haaksbergen</t>
  </si>
  <si>
    <t>Zundert</t>
  </si>
  <si>
    <t>Nuenen</t>
  </si>
  <si>
    <t>Aalten</t>
  </si>
  <si>
    <t>Stein</t>
  </si>
  <si>
    <t>Vlieland</t>
  </si>
  <si>
    <t>Eindhoven</t>
  </si>
  <si>
    <t>Oisterwijk</t>
  </si>
  <si>
    <t>1991-1992</t>
  </si>
  <si>
    <t>Oostelijk Duatlon Circuit</t>
  </si>
  <si>
    <t>OD</t>
  </si>
  <si>
    <t>1,5-40-10</t>
  </si>
  <si>
    <t>OTC</t>
  </si>
  <si>
    <t>SPC/OTC</t>
  </si>
  <si>
    <t>NK studenten</t>
  </si>
  <si>
    <t xml:space="preserve">NK  </t>
  </si>
  <si>
    <t>SPC/OTC OK</t>
  </si>
  <si>
    <t>OostelijkTriatlon Circuit</t>
  </si>
  <si>
    <t>Borculo</t>
  </si>
  <si>
    <t>Pannerden</t>
  </si>
  <si>
    <t>Dijkencross</t>
  </si>
  <si>
    <t>1,5-42,5-9,8</t>
  </si>
  <si>
    <t xml:space="preserve"> </t>
  </si>
  <si>
    <t>Maastricht</t>
  </si>
  <si>
    <t>1-47,5-10,7</t>
  </si>
  <si>
    <t>Vriezenveen</t>
  </si>
  <si>
    <t>1,6-40-10</t>
  </si>
  <si>
    <t>Almelo</t>
  </si>
  <si>
    <t>1,5-40,7-10,1</t>
  </si>
  <si>
    <t>1,5-41,4-9,5</t>
  </si>
  <si>
    <t>2-86-21</t>
  </si>
  <si>
    <t>2,5-82,1-20</t>
  </si>
  <si>
    <t>1,5-42,77-10</t>
  </si>
  <si>
    <t>Holterbergloop</t>
  </si>
  <si>
    <t>Nijmegen</t>
  </si>
  <si>
    <t>Zevenheuvelenloop</t>
  </si>
  <si>
    <t>CT Cross op UT</t>
  </si>
  <si>
    <t>Leemkuilcross</t>
  </si>
  <si>
    <t>FBK</t>
  </si>
  <si>
    <t>Asseler ronde</t>
  </si>
  <si>
    <t>NSK-cross</t>
  </si>
  <si>
    <t>Safari loop</t>
  </si>
  <si>
    <t>Arnhem</t>
  </si>
  <si>
    <t>Waarland</t>
  </si>
  <si>
    <t>Stadsloop</t>
  </si>
  <si>
    <t>Alphen a/d Rijn</t>
  </si>
  <si>
    <t>Ammerstol</t>
  </si>
  <si>
    <t>Losser</t>
  </si>
  <si>
    <t>Rijkevoort</t>
  </si>
  <si>
    <t>Naaldwijk</t>
  </si>
  <si>
    <t>Westland Marathon</t>
  </si>
  <si>
    <t>6-30-4</t>
  </si>
  <si>
    <t>Venray</t>
  </si>
  <si>
    <t>lang</t>
  </si>
  <si>
    <t>Kruiningen</t>
  </si>
  <si>
    <t>Delden</t>
  </si>
  <si>
    <t>Den Haag</t>
  </si>
  <si>
    <t xml:space="preserve">Alanya </t>
  </si>
  <si>
    <t>Tur</t>
  </si>
  <si>
    <t>Land</t>
  </si>
  <si>
    <t>Dld</t>
  </si>
  <si>
    <t>Bocholt</t>
  </si>
  <si>
    <t>Harderwijk</t>
  </si>
  <si>
    <t>Oostelijk Triatlon Circuit</t>
  </si>
  <si>
    <t>Amsterdam</t>
  </si>
  <si>
    <t>0,25-10-2,5</t>
  </si>
  <si>
    <t>Indoor</t>
  </si>
  <si>
    <t>NSK</t>
  </si>
  <si>
    <t>14-62-7</t>
  </si>
  <si>
    <t>1-43-10</t>
  </si>
  <si>
    <t>1,5-39,1-9,6</t>
  </si>
  <si>
    <t>2,5-77,5-20</t>
  </si>
  <si>
    <t>1,35-38-10</t>
  </si>
  <si>
    <t>1,5-42-9,7</t>
  </si>
  <si>
    <t>0,8-41-10,5</t>
  </si>
  <si>
    <t>1,8-39-10</t>
  </si>
  <si>
    <t>7-31-3,5</t>
  </si>
  <si>
    <t>Minimarathon</t>
  </si>
  <si>
    <t>Diever</t>
  </si>
  <si>
    <t>14-60-7</t>
  </si>
  <si>
    <t>Leeuwarden</t>
  </si>
  <si>
    <t>7,2-29,8-3,9</t>
  </si>
  <si>
    <t>14-64-7</t>
  </si>
  <si>
    <t>Johan Knaap Games</t>
  </si>
  <si>
    <t>kwart</t>
  </si>
  <si>
    <t>1-44,25-10</t>
  </si>
  <si>
    <t>Bergen op Zoom</t>
  </si>
  <si>
    <t>MD</t>
  </si>
  <si>
    <t>2,5-81-17</t>
  </si>
  <si>
    <t>Steeple NSK</t>
  </si>
  <si>
    <t>Gendringen</t>
  </si>
  <si>
    <t>Competitie Kronos</t>
  </si>
  <si>
    <t>ETU/SPC</t>
  </si>
  <si>
    <t>Asten</t>
  </si>
  <si>
    <t>1,5-40-9</t>
  </si>
  <si>
    <t>Köln</t>
  </si>
  <si>
    <t>1,5-28-9</t>
  </si>
  <si>
    <t>Stadtlohn</t>
  </si>
  <si>
    <t>1,5-36-10,1</t>
  </si>
  <si>
    <t>NK/EK/WK</t>
  </si>
  <si>
    <t>Nice</t>
  </si>
  <si>
    <t>O3</t>
  </si>
  <si>
    <t>WK</t>
  </si>
  <si>
    <t>4-123-30?</t>
  </si>
  <si>
    <t>Duisburg</t>
  </si>
  <si>
    <t>1,5-35-10</t>
  </si>
  <si>
    <t>Kronen Tour</t>
  </si>
  <si>
    <t>2,5-80-10</t>
  </si>
  <si>
    <t>NK/SPC</t>
  </si>
  <si>
    <t>Odijk</t>
  </si>
  <si>
    <t>RBR kort</t>
  </si>
  <si>
    <t>Griep</t>
  </si>
  <si>
    <t>Shin splint</t>
  </si>
  <si>
    <t>Almere</t>
  </si>
  <si>
    <t>IM</t>
  </si>
  <si>
    <t>Schliersee</t>
  </si>
  <si>
    <t>Gebroken ketting</t>
  </si>
  <si>
    <t>10-40-5</t>
  </si>
  <si>
    <t>1,8-41,5-10</t>
  </si>
  <si>
    <t>7-28,6-3,5</t>
  </si>
  <si>
    <t>7-31-3</t>
  </si>
  <si>
    <t>Assen</t>
  </si>
  <si>
    <t>Lang</t>
  </si>
  <si>
    <t>20-100-40</t>
  </si>
  <si>
    <t>Markelo</t>
  </si>
  <si>
    <t>Diesloop Kronos</t>
  </si>
  <si>
    <t>Eibergen</t>
  </si>
  <si>
    <t>Deventer</t>
  </si>
  <si>
    <t>(km/h)</t>
  </si>
  <si>
    <t>Geleen</t>
  </si>
  <si>
    <t>Kort</t>
  </si>
  <si>
    <t>10-37-20</t>
  </si>
  <si>
    <t>Steenwijk</t>
  </si>
  <si>
    <t>7-31,2-3,5</t>
  </si>
  <si>
    <t>7,2-29,15-3,6</t>
  </si>
  <si>
    <t>Podium</t>
  </si>
  <si>
    <t>Parcours record</t>
  </si>
  <si>
    <t>Teamcompetitie</t>
  </si>
  <si>
    <t>Boekelo</t>
  </si>
  <si>
    <t>Batavierenrace</t>
  </si>
  <si>
    <t>Veszprem</t>
  </si>
  <si>
    <t>Hon</t>
  </si>
  <si>
    <t>EK</t>
  </si>
  <si>
    <t>Geel</t>
  </si>
  <si>
    <t>Bel</t>
  </si>
  <si>
    <t>1,4-41-10</t>
  </si>
  <si>
    <t>Prestige Cup</t>
  </si>
  <si>
    <t>Kitzbühel</t>
  </si>
  <si>
    <t>Oos</t>
  </si>
  <si>
    <t>6,6-34-6,6</t>
  </si>
  <si>
    <t>1,5-42,5-9,6</t>
  </si>
  <si>
    <t>Kamen</t>
  </si>
  <si>
    <t>1-37-9,6</t>
  </si>
  <si>
    <t>Beckum</t>
  </si>
  <si>
    <t>Tijdrit</t>
  </si>
  <si>
    <t>UT kampioenschap</t>
  </si>
  <si>
    <t>1,6-40-10,2</t>
  </si>
  <si>
    <t>tijd?</t>
  </si>
  <si>
    <t>Witten</t>
  </si>
  <si>
    <t>1,5-40-10,5</t>
  </si>
  <si>
    <t>Roth</t>
  </si>
  <si>
    <t>3,8-180-42,2</t>
  </si>
  <si>
    <t>Didam</t>
  </si>
  <si>
    <t>1,5-39-10</t>
  </si>
  <si>
    <t>Reden</t>
  </si>
  <si>
    <t>Olpe</t>
  </si>
  <si>
    <t>1,5-45-10</t>
  </si>
  <si>
    <t>Bundesliga Kwalificatie</t>
  </si>
  <si>
    <t>1,5-41-10</t>
  </si>
  <si>
    <t>Wassenaar</t>
  </si>
  <si>
    <t>Spijkenisse</t>
  </si>
  <si>
    <t>European Prestige Cup</t>
  </si>
  <si>
    <t>4-120-30</t>
  </si>
  <si>
    <t>WK, 1e 20-24jr</t>
  </si>
  <si>
    <t>1,5-39,23-10</t>
  </si>
  <si>
    <t>Cancun</t>
  </si>
  <si>
    <t>Mex</t>
  </si>
  <si>
    <t>Lloret de Mar</t>
  </si>
  <si>
    <t>Spa</t>
  </si>
  <si>
    <t>midden</t>
  </si>
  <si>
    <t>sprint</t>
  </si>
  <si>
    <t>5-20,73-2,5</t>
  </si>
  <si>
    <t>Batavierenrace etappe 25</t>
  </si>
  <si>
    <t>Gladbeck</t>
  </si>
  <si>
    <t>Bundesliga</t>
  </si>
  <si>
    <t>1-37-10</t>
  </si>
  <si>
    <t>1,5-43,8-9,5</t>
  </si>
  <si>
    <t>ETU Cup</t>
  </si>
  <si>
    <t>Criterium</t>
  </si>
  <si>
    <t>Roermond</t>
  </si>
  <si>
    <t>1,5-38,7-10</t>
  </si>
  <si>
    <t>Raalte</t>
  </si>
  <si>
    <t>Districtskampioenschap</t>
  </si>
  <si>
    <t>Ulft</t>
  </si>
  <si>
    <t>Parijs</t>
  </si>
  <si>
    <t>Riederau</t>
  </si>
  <si>
    <t>1,5-43-10</t>
  </si>
  <si>
    <t>1,5-44-10</t>
  </si>
  <si>
    <t>Hellevoetsluis</t>
  </si>
  <si>
    <t>1,5-44-9,5</t>
  </si>
  <si>
    <t>Szombathely</t>
  </si>
  <si>
    <t>1,5-38,59-10</t>
  </si>
  <si>
    <t>Hosingen</t>
  </si>
  <si>
    <t>Lux</t>
  </si>
  <si>
    <t>1-43,8-10</t>
  </si>
  <si>
    <t>Selm</t>
  </si>
  <si>
    <t>1,5-38.5-10</t>
  </si>
  <si>
    <t>SPC Parcours record</t>
  </si>
  <si>
    <t>Rosmalen</t>
  </si>
  <si>
    <t>1,5-38.7-10</t>
  </si>
  <si>
    <t>Ferrara</t>
  </si>
  <si>
    <t>Ita</t>
  </si>
  <si>
    <t>9-38-4,5</t>
  </si>
  <si>
    <t>Gemert</t>
  </si>
  <si>
    <t>NK 3e plaats</t>
  </si>
  <si>
    <t>Durban</t>
  </si>
  <si>
    <t>SA</t>
  </si>
  <si>
    <t>Glogow</t>
  </si>
  <si>
    <t>Pol</t>
  </si>
  <si>
    <t>EK halve finale</t>
  </si>
  <si>
    <t>Nieuwkoop</t>
  </si>
  <si>
    <t>NK Elite Circuit</t>
  </si>
  <si>
    <t>Vuokatti</t>
  </si>
  <si>
    <t>Fin</t>
  </si>
  <si>
    <t>EK Halve finale</t>
  </si>
  <si>
    <t>EK Finale</t>
  </si>
  <si>
    <t>Landau</t>
  </si>
  <si>
    <t>Embrun</t>
  </si>
  <si>
    <t>Fra</t>
  </si>
  <si>
    <t>Worldcup</t>
  </si>
  <si>
    <t>WC</t>
  </si>
  <si>
    <t>NK/EK/WK/WC</t>
  </si>
  <si>
    <t>Gernica</t>
  </si>
  <si>
    <t>Nationaal Circuit</t>
  </si>
  <si>
    <t>St. Kitts</t>
  </si>
  <si>
    <t>SKN</t>
  </si>
  <si>
    <t>Milaan</t>
  </si>
  <si>
    <t>Lido delle Nazione</t>
  </si>
  <si>
    <t>Zürich</t>
  </si>
  <si>
    <t>Swi</t>
  </si>
  <si>
    <t>ITU</t>
  </si>
  <si>
    <t>Velden</t>
  </si>
  <si>
    <t>Frankfurt</t>
  </si>
  <si>
    <t>Cornerbrook</t>
  </si>
  <si>
    <t>Ca</t>
  </si>
  <si>
    <t xml:space="preserve">Tisjauvarosz </t>
  </si>
  <si>
    <t>Paderborn</t>
  </si>
  <si>
    <t>0,75-20-5</t>
  </si>
  <si>
    <t>Dinkelloop</t>
  </si>
  <si>
    <t>Nijverdal</t>
  </si>
  <si>
    <t>Egmond</t>
  </si>
  <si>
    <t>ATB</t>
  </si>
  <si>
    <t>Potchefstroom</t>
  </si>
  <si>
    <t>Mykonos</t>
  </si>
  <si>
    <t>Ishikagi</t>
  </si>
  <si>
    <t>Jap</t>
  </si>
  <si>
    <t>Gamagori</t>
  </si>
  <si>
    <t>Sydney</t>
  </si>
  <si>
    <t>Aus</t>
  </si>
  <si>
    <t>Stuttgart</t>
  </si>
  <si>
    <t>ZL</t>
  </si>
  <si>
    <t>Top 4 Tour</t>
  </si>
  <si>
    <t>ITU Elite Circuit</t>
  </si>
  <si>
    <t>Serie Bundesliga</t>
  </si>
  <si>
    <t>Team Trial Bundesliga</t>
  </si>
  <si>
    <t>Arcen</t>
  </si>
  <si>
    <t>Säter</t>
  </si>
  <si>
    <t>Swe</t>
  </si>
  <si>
    <t xml:space="preserve">WK </t>
  </si>
  <si>
    <t>13e NK</t>
  </si>
  <si>
    <t>Panama City Florida</t>
  </si>
  <si>
    <t>USA</t>
  </si>
  <si>
    <t>LD</t>
  </si>
  <si>
    <t xml:space="preserve">Gladbeck </t>
  </si>
  <si>
    <t xml:space="preserve">Darmstadt </t>
  </si>
  <si>
    <t>Darmstadt</t>
  </si>
  <si>
    <t xml:space="preserve">Roth </t>
  </si>
  <si>
    <t xml:space="preserve">Landau </t>
  </si>
  <si>
    <t xml:space="preserve">Heidelberg </t>
  </si>
  <si>
    <t xml:space="preserve">Hawaii </t>
  </si>
  <si>
    <t>Maui</t>
  </si>
  <si>
    <t>0.3-5,5-2.5</t>
  </si>
  <si>
    <t>0.5-5,6</t>
  </si>
  <si>
    <t>0.5-5.6</t>
  </si>
  <si>
    <t>1-10</t>
  </si>
  <si>
    <t>0.55-22-5</t>
  </si>
  <si>
    <t>0,3-9-2</t>
  </si>
  <si>
    <t>0,5-20-5</t>
  </si>
  <si>
    <t>4-129-30</t>
  </si>
  <si>
    <t>Parcoursrecord</t>
  </si>
  <si>
    <t>8e NK</t>
  </si>
  <si>
    <t>10-36-5</t>
  </si>
  <si>
    <t>Duo Duatlon 1:13:20</t>
  </si>
  <si>
    <t>2e NK Persoonlijk record</t>
  </si>
  <si>
    <t>0.5-24-5</t>
  </si>
  <si>
    <t>1,5-30-11</t>
  </si>
  <si>
    <t>Xterra</t>
  </si>
  <si>
    <t>Egmond Combi</t>
  </si>
  <si>
    <t>Taupo</t>
  </si>
  <si>
    <t>NZL</t>
  </si>
  <si>
    <t>UT triathlon</t>
  </si>
  <si>
    <t>St. Petersburg</t>
  </si>
  <si>
    <t>0.8-22-5</t>
  </si>
  <si>
    <t>3-106-30</t>
  </si>
  <si>
    <t>Fredericia</t>
  </si>
  <si>
    <t>Den</t>
  </si>
  <si>
    <t>WK LD IM</t>
  </si>
  <si>
    <t>1,5-30-10</t>
  </si>
  <si>
    <t>Singelloop</t>
  </si>
  <si>
    <t>tijden niet in uitslag</t>
  </si>
  <si>
    <t>Forster-Tuncurry</t>
  </si>
  <si>
    <t>AUS</t>
  </si>
  <si>
    <t>UT Triathlon</t>
  </si>
  <si>
    <t>2,5-84-20</t>
  </si>
  <si>
    <t>off road</t>
  </si>
  <si>
    <t>2-28-7</t>
  </si>
  <si>
    <t>Eupen</t>
  </si>
  <si>
    <t>2,5-80-21</t>
  </si>
  <si>
    <t>Capcir</t>
  </si>
  <si>
    <t>Soesterberg</t>
  </si>
  <si>
    <t>4-130-30</t>
  </si>
  <si>
    <t>Curaçao</t>
  </si>
  <si>
    <t>Amstel Curaçao Race</t>
  </si>
  <si>
    <t>Borne</t>
  </si>
  <si>
    <t>Afstand?</t>
  </si>
  <si>
    <t>Inzell</t>
  </si>
  <si>
    <t>Breukelen</t>
  </si>
  <si>
    <t>Ibiza</t>
  </si>
  <si>
    <t>Thales Dubbele Mijl</t>
  </si>
  <si>
    <t>Obernai</t>
  </si>
  <si>
    <t>3-110-30</t>
  </si>
  <si>
    <t>Ameland</t>
  </si>
  <si>
    <t>1-30-10</t>
  </si>
  <si>
    <t>Valkenburg</t>
  </si>
  <si>
    <t>5-20-2,5</t>
  </si>
  <si>
    <t>Soest</t>
  </si>
  <si>
    <t>Bos Marathon</t>
  </si>
  <si>
    <t>Groningen</t>
  </si>
  <si>
    <t>10-45-20</t>
  </si>
  <si>
    <t>Haaksbergse Mijlenloop</t>
  </si>
  <si>
    <t>IM Australia</t>
  </si>
  <si>
    <t>IM Florida</t>
  </si>
  <si>
    <t>IM Hawaii</t>
  </si>
  <si>
    <t>IM New Zealand</t>
  </si>
  <si>
    <t>IM Germany</t>
  </si>
  <si>
    <t>Maastrichts Mooiste</t>
  </si>
  <si>
    <t>Duo in triatlon</t>
  </si>
  <si>
    <t>Veenendaal</t>
  </si>
  <si>
    <t>Molenschot</t>
  </si>
  <si>
    <t>Oud-Beijerland</t>
  </si>
  <si>
    <t>10-25-5</t>
  </si>
  <si>
    <t>15-60-7,5</t>
  </si>
  <si>
    <t>Lanzarote</t>
  </si>
  <si>
    <t>IM Lanzarote</t>
  </si>
  <si>
    <t>Potsdam</t>
  </si>
  <si>
    <t>11e NK</t>
  </si>
  <si>
    <t>16e NK</t>
  </si>
  <si>
    <t>Wapenveld</t>
  </si>
  <si>
    <t>Skeeler</t>
  </si>
  <si>
    <t>6-43-21</t>
  </si>
  <si>
    <t>Duatlon</t>
  </si>
  <si>
    <t>10-50-20</t>
  </si>
  <si>
    <t>Weerselo</t>
  </si>
  <si>
    <t>Rijssen</t>
  </si>
  <si>
    <t>Sluis-Knokke</t>
  </si>
  <si>
    <t>2-100-24</t>
  </si>
  <si>
    <t>Geleen-Sittard</t>
  </si>
  <si>
    <t>3e NK</t>
  </si>
  <si>
    <t>0,5-5</t>
  </si>
  <si>
    <t>Goud</t>
  </si>
  <si>
    <t xml:space="preserve">Zilver </t>
  </si>
  <si>
    <t>Brons</t>
  </si>
  <si>
    <t>team</t>
  </si>
  <si>
    <t>2-60-12</t>
  </si>
  <si>
    <t>derde</t>
  </si>
  <si>
    <t>Top 10</t>
  </si>
  <si>
    <t>Top 20</t>
  </si>
  <si>
    <t>Top 50</t>
  </si>
  <si>
    <t>Top 100</t>
  </si>
  <si>
    <t>Top 500</t>
  </si>
  <si>
    <t>Sport</t>
  </si>
  <si>
    <t>Triatlon</t>
  </si>
  <si>
    <t>Wintertriatlon</t>
  </si>
  <si>
    <t>Aquatlon</t>
  </si>
  <si>
    <t>Run</t>
  </si>
  <si>
    <t>Cycling</t>
  </si>
  <si>
    <t>Hondsrug Classic</t>
  </si>
  <si>
    <t>Gieten</t>
  </si>
  <si>
    <t>Winter Step One loop</t>
  </si>
  <si>
    <t>4-120-7,9</t>
  </si>
  <si>
    <t>3,8-180-21.2</t>
  </si>
  <si>
    <t>Schaatsen</t>
  </si>
  <si>
    <t>Marathon</t>
  </si>
  <si>
    <t>1-9</t>
  </si>
  <si>
    <t>Recreanten marathon</t>
  </si>
  <si>
    <t>Lange Baan</t>
  </si>
  <si>
    <t>DYC clubkampioenschap</t>
  </si>
  <si>
    <t>Mist nog een paar</t>
  </si>
  <si>
    <t>Ploeg</t>
  </si>
  <si>
    <t>1,5-8</t>
  </si>
  <si>
    <t>0,8-29-7</t>
  </si>
  <si>
    <t>1,5-40-7,5</t>
  </si>
  <si>
    <t>5,5-2,5</t>
  </si>
  <si>
    <t>0,55-22-5</t>
  </si>
  <si>
    <t>4-121-30</t>
  </si>
  <si>
    <t>0,5-22-5</t>
  </si>
  <si>
    <t>Aloha</t>
  </si>
  <si>
    <t>TCT</t>
  </si>
  <si>
    <t>2,5-80-20</t>
  </si>
  <si>
    <t xml:space="preserve">Time </t>
  </si>
  <si>
    <t>EDC</t>
  </si>
  <si>
    <t>Wereldranglijst ITU</t>
  </si>
  <si>
    <t>Gulf Coast Triathlon</t>
  </si>
  <si>
    <t>Mad Beach Triathlon</t>
  </si>
  <si>
    <t>OD-kwart</t>
  </si>
  <si>
    <t>Duatlon RSR</t>
  </si>
  <si>
    <t>Som</t>
  </si>
  <si>
    <t>Buitenland</t>
  </si>
  <si>
    <t>Landen</t>
  </si>
  <si>
    <t>0,5-5,6</t>
  </si>
  <si>
    <t>Fun Run IM NZL</t>
  </si>
  <si>
    <t>SR</t>
  </si>
  <si>
    <t>Glanerbrug</t>
  </si>
  <si>
    <t>Totaal</t>
  </si>
  <si>
    <t>Distances (km)</t>
  </si>
  <si>
    <t>7-33-3,5</t>
  </si>
  <si>
    <t>WK kwalificatie</t>
  </si>
  <si>
    <t>WK 1e 20-24jr.</t>
  </si>
  <si>
    <t>NK 13e</t>
  </si>
  <si>
    <t>NK 3e Elite Circuit</t>
  </si>
  <si>
    <t>St. Croix</t>
  </si>
  <si>
    <t>Estafette WTA (2e in 5.06.51)</t>
  </si>
  <si>
    <t>tussentijden</t>
  </si>
  <si>
    <t>NL</t>
  </si>
  <si>
    <t>Nederland</t>
  </si>
  <si>
    <t>Duatlon-Wintertriatlon</t>
  </si>
  <si>
    <t>met valpartij</t>
  </si>
  <si>
    <t>Ronde van Hengelo(ers)</t>
  </si>
  <si>
    <t>bruto 1.17.17</t>
  </si>
  <si>
    <t>bruto 1:22:29</t>
  </si>
  <si>
    <t>ITU Elite Circuit 3e NL</t>
  </si>
  <si>
    <t>NK 8e Elite Circuit</t>
  </si>
  <si>
    <t>ITU Elite Circuit 1e NL</t>
  </si>
  <si>
    <t>Swim</t>
  </si>
  <si>
    <t>Open water</t>
  </si>
  <si>
    <t>Wetsuit</t>
  </si>
  <si>
    <t>2e NL</t>
  </si>
  <si>
    <t>WK kwalificatie ETU Du Cup</t>
  </si>
  <si>
    <t>Bundesliga West</t>
  </si>
  <si>
    <t>1,25-20-5</t>
  </si>
  <si>
    <t>Bundesliga West (Lekke band)</t>
  </si>
  <si>
    <t>tijden?</t>
  </si>
  <si>
    <t xml:space="preserve">NK 2e </t>
  </si>
  <si>
    <t>NK 7e ITU</t>
  </si>
  <si>
    <t>NK 1e</t>
  </si>
  <si>
    <t>Bruto 1.43.30</t>
  </si>
  <si>
    <t>10-15-20</t>
  </si>
  <si>
    <t>UT Triathlon 6e keer winst</t>
  </si>
  <si>
    <t>UT Triathlon 5e keer winst</t>
  </si>
  <si>
    <t>Val ingescheurde kruisband</t>
  </si>
  <si>
    <t>Maagproblemen/ongetraind</t>
  </si>
  <si>
    <t>Diepe snee in voet</t>
  </si>
  <si>
    <t>EK Powerman NK 4e</t>
  </si>
  <si>
    <t>tijden ongeveer</t>
  </si>
  <si>
    <t>Geknapte spaak</t>
  </si>
  <si>
    <t>Wetsuit, in trio</t>
  </si>
  <si>
    <t>Stein mixed trio</t>
  </si>
  <si>
    <t>UT Triathlon parcoursrecord</t>
  </si>
  <si>
    <t>x Barend de Matterloop</t>
  </si>
  <si>
    <t>25m</t>
  </si>
  <si>
    <t>Stroke</t>
  </si>
  <si>
    <t>datum?</t>
  </si>
  <si>
    <t>50m</t>
  </si>
  <si>
    <t>School</t>
  </si>
  <si>
    <t>Rug</t>
  </si>
  <si>
    <t>Vlinder</t>
  </si>
  <si>
    <t>Vrij</t>
  </si>
  <si>
    <t>D-competitie</t>
  </si>
  <si>
    <t>UT</t>
  </si>
  <si>
    <t>Eefde</t>
  </si>
  <si>
    <t>Clubkampioenschap</t>
  </si>
  <si>
    <t>Distances (m)</t>
  </si>
  <si>
    <t>Speed (km/h)</t>
  </si>
  <si>
    <t>UT binnen</t>
  </si>
  <si>
    <t>Recordwedstrijden</t>
  </si>
  <si>
    <t>Wissel</t>
  </si>
  <si>
    <t>UT buiten</t>
  </si>
  <si>
    <t>Piranha Clubk.</t>
  </si>
  <si>
    <t>Centraal Beheer Loop</t>
  </si>
  <si>
    <t>SPC OTC</t>
  </si>
  <si>
    <t>0.5-23,6-5</t>
  </si>
  <si>
    <t>Hekey Club Record</t>
  </si>
  <si>
    <t>Buurse</t>
  </si>
  <si>
    <t>vrij</t>
  </si>
  <si>
    <t>tijden</t>
  </si>
  <si>
    <t>Slagman</t>
  </si>
  <si>
    <t>klassering 7? Punten?</t>
  </si>
  <si>
    <t>EK 6e NK</t>
  </si>
  <si>
    <t>0,175-8-2</t>
  </si>
  <si>
    <t>0,525-20-5</t>
  </si>
  <si>
    <t>0,55-20-5</t>
  </si>
  <si>
    <t>Business Mile FBK</t>
  </si>
  <si>
    <t>Dedemsvaart</t>
  </si>
  <si>
    <t>5-24-2,5</t>
  </si>
  <si>
    <t>Oldenzaal</t>
  </si>
  <si>
    <t>6,5-30-4,8</t>
  </si>
  <si>
    <t>Oss</t>
  </si>
  <si>
    <t>Offroad</t>
  </si>
  <si>
    <t>Rheine</t>
  </si>
  <si>
    <t>x Haaksbergse Mijlenloop</t>
  </si>
  <si>
    <t>0,475-20-5</t>
  </si>
  <si>
    <t>Deurningen</t>
  </si>
  <si>
    <t>Run 1</t>
  </si>
  <si>
    <t>Run 2</t>
  </si>
  <si>
    <t>x Thales Dubbele Mijl</t>
  </si>
  <si>
    <t>H40 startserie</t>
  </si>
  <si>
    <t>UT kampioenschap (start finish zelfde lijn)</t>
  </si>
  <si>
    <t>Lekke band</t>
  </si>
  <si>
    <t>NK H40</t>
  </si>
  <si>
    <t>1-45-0</t>
  </si>
  <si>
    <t>1,5-45-0</t>
  </si>
  <si>
    <t>1,5-10-0</t>
  </si>
  <si>
    <t>Rutbeek triatlon</t>
  </si>
  <si>
    <t>3-11.2-2</t>
  </si>
  <si>
    <t>Twentse Triatlon Tour</t>
  </si>
  <si>
    <t>0,5-19-5</t>
  </si>
  <si>
    <t>IM Switzerland</t>
  </si>
  <si>
    <t>0,5-3-0,25</t>
  </si>
  <si>
    <t>Rutbeek VC Finale</t>
  </si>
  <si>
    <t>5-22-2,5</t>
  </si>
  <si>
    <t>VC finale, 1e H40</t>
  </si>
  <si>
    <t>1e H40</t>
  </si>
</sst>
</file>

<file path=xl/styles.xml><?xml version="1.0" encoding="utf-8"?>
<styleSheet xmlns="http://schemas.openxmlformats.org/spreadsheetml/2006/main">
  <numFmts count="3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h]:mm:ss;@"/>
    <numFmt numFmtId="173" formatCode="[$-413]dddd\ d\ mmmm\ yyyy"/>
    <numFmt numFmtId="174" formatCode="[$-413]dd/mmm/yy;@"/>
    <numFmt numFmtId="175" formatCode="[$-413]d/mmm/yy;@"/>
    <numFmt numFmtId="176" formatCode="0.000"/>
    <numFmt numFmtId="177" formatCode="mm:ss.0;@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  <numFmt numFmtId="182" formatCode="0.0"/>
    <numFmt numFmtId="183" formatCode="0.0%"/>
    <numFmt numFmtId="184" formatCode="mm:ss.00;@"/>
    <numFmt numFmtId="185" formatCode="h:mm:ss.00;@"/>
    <numFmt numFmtId="186" formatCode="[$-413]d/mmm/yyyy;@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6" fontId="0" fillId="0" borderId="0" xfId="0" applyNumberFormat="1" applyAlignment="1">
      <alignment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75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6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47" fontId="0" fillId="0" borderId="0" xfId="0" applyNumberFormat="1" applyAlignment="1">
      <alignment/>
    </xf>
    <xf numFmtId="16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0" fontId="0" fillId="5" borderId="0" xfId="0" applyFill="1" applyAlignment="1">
      <alignment/>
    </xf>
    <xf numFmtId="0" fontId="2" fillId="0" borderId="0" xfId="0" applyFont="1" applyBorder="1" applyAlignment="1">
      <alignment/>
    </xf>
    <xf numFmtId="0" fontId="0" fillId="6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46" fontId="0" fillId="0" borderId="0" xfId="0" applyNumberFormat="1" applyBorder="1" applyAlignment="1">
      <alignment/>
    </xf>
    <xf numFmtId="175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2" borderId="0" xfId="0" applyFill="1" applyBorder="1" applyAlignment="1">
      <alignment/>
    </xf>
    <xf numFmtId="16" fontId="0" fillId="0" borderId="0" xfId="0" applyNumberFormat="1" applyBorder="1" applyAlignment="1">
      <alignment/>
    </xf>
    <xf numFmtId="21" fontId="0" fillId="3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3" fillId="4" borderId="2" xfId="0" applyFont="1" applyFill="1" applyBorder="1" applyAlignment="1">
      <alignment/>
    </xf>
    <xf numFmtId="175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83" fontId="0" fillId="3" borderId="2" xfId="0" applyNumberFormat="1" applyFill="1" applyBorder="1" applyAlignment="1">
      <alignment/>
    </xf>
    <xf numFmtId="183" fontId="3" fillId="4" borderId="2" xfId="0" applyNumberFormat="1" applyFont="1" applyFill="1" applyBorder="1" applyAlignment="1">
      <alignment/>
    </xf>
    <xf numFmtId="183" fontId="0" fillId="5" borderId="2" xfId="0" applyNumberFormat="1" applyFill="1" applyBorder="1" applyAlignment="1">
      <alignment/>
    </xf>
    <xf numFmtId="183" fontId="0" fillId="6" borderId="2" xfId="0" applyNumberFormat="1" applyFill="1" applyBorder="1" applyAlignment="1">
      <alignment/>
    </xf>
    <xf numFmtId="183" fontId="0" fillId="2" borderId="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6" borderId="2" xfId="0" applyNumberFormat="1" applyFill="1" applyBorder="1" applyAlignment="1">
      <alignment/>
    </xf>
    <xf numFmtId="0" fontId="0" fillId="6" borderId="2" xfId="0" applyFont="1" applyFill="1" applyBorder="1" applyAlignment="1">
      <alignment/>
    </xf>
    <xf numFmtId="177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4" borderId="0" xfId="0" applyFont="1" applyFill="1" applyAlignment="1">
      <alignment/>
    </xf>
    <xf numFmtId="21" fontId="0" fillId="0" borderId="0" xfId="0" applyNumberFormat="1" applyFill="1" applyAlignment="1">
      <alignment/>
    </xf>
    <xf numFmtId="1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2" fillId="0" borderId="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84" fontId="2" fillId="0" borderId="0" xfId="0" applyNumberFormat="1" applyFon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ill>
        <patternFill>
          <bgColor rgb="FFFFCC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3300"/>
        </patternFill>
      </fill>
      <border/>
    </dxf>
    <dxf>
      <font>
        <color rgb="FFFFFFFF"/>
      </font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9"/>
  <sheetViews>
    <sheetView tabSelected="1" zoomScale="75" zoomScaleNormal="75" workbookViewId="0" topLeftCell="A1">
      <pane xSplit="1" ySplit="11" topLeftCell="B3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350" sqref="O350"/>
    </sheetView>
  </sheetViews>
  <sheetFormatPr defaultColWidth="9.140625" defaultRowHeight="12.75"/>
  <cols>
    <col min="1" max="1" width="7.7109375" style="0" bestFit="1" customWidth="1"/>
    <col min="2" max="2" width="10.140625" style="0" bestFit="1" customWidth="1"/>
    <col min="3" max="3" width="18.140625" style="0" bestFit="1" customWidth="1"/>
    <col min="4" max="4" width="6.28125" style="0" bestFit="1" customWidth="1"/>
    <col min="5" max="5" width="12.00390625" style="0" bestFit="1" customWidth="1"/>
    <col min="6" max="6" width="7.7109375" style="0" bestFit="1" customWidth="1"/>
    <col min="7" max="7" width="12.8515625" style="0" bestFit="1" customWidth="1"/>
    <col min="8" max="8" width="10.00390625" style="0" bestFit="1" customWidth="1"/>
    <col min="9" max="9" width="8.7109375" style="0" bestFit="1" customWidth="1"/>
    <col min="10" max="10" width="8.140625" style="4" bestFit="1" customWidth="1"/>
    <col min="11" max="11" width="8.28125" style="0" customWidth="1"/>
    <col min="12" max="12" width="8.140625" style="0" bestFit="1" customWidth="1"/>
    <col min="13" max="13" width="10.00390625" style="0" customWidth="1"/>
    <col min="14" max="14" width="7.57421875" style="0" bestFit="1" customWidth="1"/>
    <col min="15" max="15" width="24.7109375" style="0" customWidth="1"/>
    <col min="16" max="16" width="17.28125" style="0" bestFit="1" customWidth="1"/>
    <col min="17" max="17" width="16.00390625" style="0" bestFit="1" customWidth="1"/>
    <col min="18" max="18" width="8.7109375" style="0" customWidth="1"/>
  </cols>
  <sheetData>
    <row r="1" spans="1:23" ht="12.75">
      <c r="A1" s="36" t="s">
        <v>457</v>
      </c>
      <c r="B1" s="36">
        <f>COUNTIF(H12:H405,"1")</f>
        <v>55</v>
      </c>
      <c r="C1" s="59">
        <f>B1/B$9</f>
        <v>0.16417910447761194</v>
      </c>
      <c r="E1" s="36" t="s">
        <v>469</v>
      </c>
      <c r="F1" s="36">
        <f>COUNTIF($E$12:$E$405,"triatlon")</f>
        <v>248</v>
      </c>
      <c r="H1" s="36" t="s">
        <v>190</v>
      </c>
      <c r="I1" s="36">
        <f>COUNTIF(Q12:R405,"wk")</f>
        <v>12</v>
      </c>
      <c r="K1" s="35" t="s">
        <v>469</v>
      </c>
      <c r="L1" s="35"/>
      <c r="M1" s="35" t="s">
        <v>523</v>
      </c>
      <c r="N1" s="35"/>
      <c r="S1" t="s">
        <v>521</v>
      </c>
      <c r="T1" t="s">
        <v>232</v>
      </c>
      <c r="U1" t="s">
        <v>304</v>
      </c>
      <c r="V1" t="s">
        <v>323</v>
      </c>
      <c r="W1" t="s">
        <v>355</v>
      </c>
    </row>
    <row r="2" spans="1:23" ht="12.75">
      <c r="A2" s="37" t="s">
        <v>458</v>
      </c>
      <c r="B2" s="37">
        <f>COUNTIF(H12:H405,"2")</f>
        <v>39</v>
      </c>
      <c r="C2" s="55">
        <f aca="true" t="shared" si="0" ref="C2:C9">B2/B$9</f>
        <v>0.11641791044776119</v>
      </c>
      <c r="E2" s="37" t="s">
        <v>448</v>
      </c>
      <c r="F2" s="37">
        <f>COUNTIF($E$12:$E$405,"duatlon")</f>
        <v>69</v>
      </c>
      <c r="H2" s="37" t="s">
        <v>230</v>
      </c>
      <c r="I2" s="37">
        <f>COUNTIF(Q$12:R$405,"ek")</f>
        <v>9</v>
      </c>
      <c r="K2" s="35" t="s">
        <v>202</v>
      </c>
      <c r="L2" s="35">
        <f>COUNTIF(F$12:F$405,"IM")</f>
        <v>20</v>
      </c>
      <c r="M2" s="35" t="s">
        <v>141</v>
      </c>
      <c r="N2" s="35">
        <f>COUNTIF($F$12:$F$405,"lang")</f>
        <v>13</v>
      </c>
      <c r="S2" t="s">
        <v>148</v>
      </c>
      <c r="T2" t="s">
        <v>236</v>
      </c>
      <c r="U2" t="s">
        <v>306</v>
      </c>
      <c r="V2" t="s">
        <v>327</v>
      </c>
      <c r="W2" t="s">
        <v>387</v>
      </c>
    </row>
    <row r="3" spans="1:23" ht="12.75">
      <c r="A3" s="52" t="s">
        <v>459</v>
      </c>
      <c r="B3" s="52">
        <f>COUNTIF(H12:H405,"3")</f>
        <v>19</v>
      </c>
      <c r="C3" s="56">
        <f t="shared" si="0"/>
        <v>0.056716417910447764</v>
      </c>
      <c r="E3" s="52" t="s">
        <v>470</v>
      </c>
      <c r="F3" s="52">
        <f>COUNTIF($E$12:$E$405,"wintertriatlon")</f>
        <v>18</v>
      </c>
      <c r="G3">
        <f>SUM(F1:F3)</f>
        <v>335</v>
      </c>
      <c r="H3" s="52" t="s">
        <v>33</v>
      </c>
      <c r="I3" s="52">
        <f>COUNTIF(Q$12:R$405,"nk")</f>
        <v>46</v>
      </c>
      <c r="K3" s="35" t="s">
        <v>189</v>
      </c>
      <c r="L3" s="35">
        <f>COUNTIF(F$12:F$405,"O3")</f>
        <v>17</v>
      </c>
      <c r="M3" s="35" t="s">
        <v>267</v>
      </c>
      <c r="N3" s="35">
        <f>COUNTIF($F$12:$F$405,"midden")</f>
        <v>19</v>
      </c>
      <c r="S3" t="s">
        <v>146</v>
      </c>
      <c r="T3" t="s">
        <v>264</v>
      </c>
      <c r="U3" t="s">
        <v>311</v>
      </c>
      <c r="V3" t="s">
        <v>332</v>
      </c>
      <c r="W3" t="s">
        <v>393</v>
      </c>
    </row>
    <row r="4" spans="1:22" ht="12.75">
      <c r="A4" s="38" t="s">
        <v>223</v>
      </c>
      <c r="B4" s="38">
        <f>SUM(B1:B3)</f>
        <v>113</v>
      </c>
      <c r="C4" s="57">
        <f t="shared" si="0"/>
        <v>0.3373134328358209</v>
      </c>
      <c r="E4" s="38" t="s">
        <v>471</v>
      </c>
      <c r="F4" s="38">
        <f>COUNTIF(Aquathlon!E2:E47,"Aquatlon")</f>
        <v>11</v>
      </c>
      <c r="H4" s="38" t="s">
        <v>318</v>
      </c>
      <c r="I4" s="38">
        <f>COUNTIF(Q$12:R$305,"WC")</f>
        <v>9</v>
      </c>
      <c r="K4" s="35" t="s">
        <v>175</v>
      </c>
      <c r="L4" s="35">
        <f>COUNTIF(F$12:F$405,"MD")</f>
        <v>15</v>
      </c>
      <c r="M4" s="35" t="s">
        <v>29</v>
      </c>
      <c r="N4" s="35">
        <f>COUNTIF($F$12:$F$405,"kort")</f>
        <v>45</v>
      </c>
      <c r="S4" t="s">
        <v>316</v>
      </c>
      <c r="T4" t="s">
        <v>291</v>
      </c>
      <c r="U4" t="s">
        <v>266</v>
      </c>
      <c r="V4" t="s">
        <v>343</v>
      </c>
    </row>
    <row r="5" spans="1:22" ht="12.75">
      <c r="A5" s="35" t="s">
        <v>463</v>
      </c>
      <c r="B5" s="35">
        <f>COUNTIF(H12:H405,"&lt;=10")</f>
        <v>204</v>
      </c>
      <c r="C5" s="58">
        <f t="shared" si="0"/>
        <v>0.608955223880597</v>
      </c>
      <c r="E5" s="35" t="s">
        <v>531</v>
      </c>
      <c r="F5" s="35">
        <f>COUNTIF(Zwemmen!E25:E200,"swim")</f>
        <v>64</v>
      </c>
      <c r="H5" s="35" t="s">
        <v>155</v>
      </c>
      <c r="I5" s="61">
        <f>COUNTIF(Q$12:R$305,"NSK")</f>
        <v>4</v>
      </c>
      <c r="K5" s="35" t="s">
        <v>462</v>
      </c>
      <c r="L5" s="35">
        <f>COUNTIF(F$12:F$405,"derde")</f>
        <v>1</v>
      </c>
      <c r="N5" s="18"/>
      <c r="S5" t="s">
        <v>229</v>
      </c>
      <c r="T5" t="s">
        <v>299</v>
      </c>
      <c r="U5" t="s">
        <v>359</v>
      </c>
      <c r="V5" t="s">
        <v>346</v>
      </c>
    </row>
    <row r="6" spans="1:14" ht="12.75">
      <c r="A6" s="35" t="s">
        <v>464</v>
      </c>
      <c r="B6" s="35">
        <f>COUNTIF(H12:H405,"&lt;=20")</f>
        <v>266</v>
      </c>
      <c r="C6" s="58">
        <f t="shared" si="0"/>
        <v>0.7940298507462686</v>
      </c>
      <c r="E6" s="35" t="s">
        <v>473</v>
      </c>
      <c r="F6" s="35">
        <f>COUNTIF(Fietsen!E2:E200,"cycling")</f>
        <v>19</v>
      </c>
      <c r="K6" s="35" t="s">
        <v>502</v>
      </c>
      <c r="L6" s="35">
        <f>COUNTIF(E$12:F$405,"OD")+COUNTIF(E$12:F$405,"kwart")</f>
        <v>159</v>
      </c>
      <c r="N6" s="18"/>
    </row>
    <row r="7" spans="1:14" ht="12.75">
      <c r="A7" s="35" t="s">
        <v>465</v>
      </c>
      <c r="B7" s="35">
        <f>COUNTIF(H12:H405,"&lt;=50")</f>
        <v>317</v>
      </c>
      <c r="C7" s="58">
        <f t="shared" si="0"/>
        <v>0.9462686567164179</v>
      </c>
      <c r="E7" s="35" t="s">
        <v>472</v>
      </c>
      <c r="F7" s="35">
        <f>COUNTIF(Lopen!E2:E222,"run")</f>
        <v>121</v>
      </c>
      <c r="H7" s="61" t="s">
        <v>522</v>
      </c>
      <c r="I7" s="61">
        <f>COUNTIF(D12:D341,"NL")</f>
        <v>223</v>
      </c>
      <c r="K7" s="35" t="s">
        <v>268</v>
      </c>
      <c r="L7" s="35">
        <f>COUNTIF(E$12:F$405,"sprint")</f>
        <v>33</v>
      </c>
      <c r="N7" s="18"/>
    </row>
    <row r="8" spans="1:14" ht="12.75">
      <c r="A8" s="35" t="s">
        <v>466</v>
      </c>
      <c r="B8" s="35">
        <f>COUNTIF(H12:H405,"&lt;=100")</f>
        <v>331</v>
      </c>
      <c r="C8" s="58">
        <f t="shared" si="0"/>
        <v>0.9880597014925373</v>
      </c>
      <c r="E8" s="35" t="s">
        <v>479</v>
      </c>
      <c r="F8" s="35">
        <f>COUNTIF(Schaatsen!E2:E126,"schaatsen")</f>
        <v>15</v>
      </c>
      <c r="H8" s="61" t="s">
        <v>505</v>
      </c>
      <c r="I8" s="61">
        <f>COUNTA(D$12:D$344)-I7</f>
        <v>110</v>
      </c>
      <c r="K8" s="35" t="s">
        <v>460</v>
      </c>
      <c r="L8" s="35">
        <f>COUNTIF(F$12:F$405,"team")</f>
        <v>8</v>
      </c>
      <c r="N8" s="18"/>
    </row>
    <row r="9" spans="1:14" ht="12.75">
      <c r="A9" s="35" t="s">
        <v>467</v>
      </c>
      <c r="B9" s="35">
        <f>COUNTIF(H12:H405,"&lt;=500")</f>
        <v>335</v>
      </c>
      <c r="C9" s="58">
        <f t="shared" si="0"/>
        <v>1</v>
      </c>
      <c r="E9" s="35" t="s">
        <v>511</v>
      </c>
      <c r="F9" s="35">
        <f>SUM(F1:F8)</f>
        <v>565</v>
      </c>
      <c r="H9" s="61" t="s">
        <v>506</v>
      </c>
      <c r="I9" s="61">
        <v>23</v>
      </c>
      <c r="K9" s="35" t="s">
        <v>402</v>
      </c>
      <c r="L9" s="35">
        <f>COUNTIF(F$12:F$405,"off road")</f>
        <v>5</v>
      </c>
      <c r="M9" s="62" t="s">
        <v>504</v>
      </c>
      <c r="N9" s="62">
        <f>SUM(L2:L9,N2:N8)</f>
        <v>335</v>
      </c>
    </row>
    <row r="11" spans="1:18" s="18" customFormat="1" ht="12.75">
      <c r="A11" s="25" t="s">
        <v>4</v>
      </c>
      <c r="B11" s="53" t="s">
        <v>10</v>
      </c>
      <c r="C11" s="34" t="s">
        <v>11</v>
      </c>
      <c r="D11" s="34" t="s">
        <v>147</v>
      </c>
      <c r="E11" s="34" t="s">
        <v>468</v>
      </c>
      <c r="F11" s="54" t="s">
        <v>0</v>
      </c>
      <c r="G11" s="34" t="s">
        <v>512</v>
      </c>
      <c r="H11" s="34" t="s">
        <v>15</v>
      </c>
      <c r="I11" s="34" t="s">
        <v>497</v>
      </c>
      <c r="J11" s="78" t="s">
        <v>5</v>
      </c>
      <c r="K11" s="34" t="s">
        <v>6</v>
      </c>
      <c r="L11" s="34" t="s">
        <v>7</v>
      </c>
      <c r="M11" s="34" t="s">
        <v>6</v>
      </c>
      <c r="N11" s="34" t="s">
        <v>8</v>
      </c>
      <c r="O11" s="34" t="s">
        <v>12</v>
      </c>
      <c r="P11" s="34" t="s">
        <v>20</v>
      </c>
      <c r="Q11" s="34" t="s">
        <v>319</v>
      </c>
      <c r="R11" s="66" t="s">
        <v>33</v>
      </c>
    </row>
    <row r="12" spans="1:17" ht="12.75">
      <c r="A12">
        <f aca="true" t="shared" si="1" ref="A12:A75">IF(B12=0,"",ROW(A1))</f>
        <v>1</v>
      </c>
      <c r="B12" s="22">
        <v>31641</v>
      </c>
      <c r="C12" s="18" t="s">
        <v>13</v>
      </c>
      <c r="D12" s="18" t="s">
        <v>521</v>
      </c>
      <c r="E12" s="18" t="s">
        <v>469</v>
      </c>
      <c r="F12" s="23" t="s">
        <v>172</v>
      </c>
      <c r="G12" s="18" t="s">
        <v>16</v>
      </c>
      <c r="H12" s="18">
        <v>310</v>
      </c>
      <c r="I12" s="20">
        <v>0.11798611111111111</v>
      </c>
      <c r="J12" s="20">
        <v>0.012222222222222223</v>
      </c>
      <c r="K12" s="18"/>
      <c r="L12" s="24">
        <v>0.058055555555555555</v>
      </c>
      <c r="M12" s="20">
        <v>0.003981481481481482</v>
      </c>
      <c r="N12" s="24">
        <v>0.04372685185185185</v>
      </c>
      <c r="O12" s="18" t="s">
        <v>40</v>
      </c>
      <c r="P12" s="18"/>
      <c r="Q12" s="18"/>
    </row>
    <row r="13" spans="1:17" ht="12.75">
      <c r="A13">
        <f t="shared" si="1"/>
        <v>2</v>
      </c>
      <c r="B13" s="22">
        <v>31928</v>
      </c>
      <c r="C13" s="41" t="s">
        <v>18</v>
      </c>
      <c r="D13" s="18" t="s">
        <v>521</v>
      </c>
      <c r="E13" s="41" t="s">
        <v>469</v>
      </c>
      <c r="F13" s="23" t="s">
        <v>268</v>
      </c>
      <c r="G13" s="18" t="s">
        <v>19</v>
      </c>
      <c r="H13" s="18">
        <v>8</v>
      </c>
      <c r="I13" s="24">
        <v>0.050740740740740746</v>
      </c>
      <c r="J13" s="20"/>
      <c r="K13" s="18"/>
      <c r="L13" s="18"/>
      <c r="M13" s="20"/>
      <c r="N13" s="18"/>
      <c r="O13" s="18" t="s">
        <v>40</v>
      </c>
      <c r="P13" s="18" t="s">
        <v>397</v>
      </c>
      <c r="Q13" s="18"/>
    </row>
    <row r="14" spans="1:17" ht="12.75">
      <c r="A14">
        <f t="shared" si="1"/>
        <v>3</v>
      </c>
      <c r="B14" s="22">
        <v>32005</v>
      </c>
      <c r="C14" s="18" t="s">
        <v>13</v>
      </c>
      <c r="D14" s="18" t="s">
        <v>521</v>
      </c>
      <c r="E14" s="18" t="s">
        <v>469</v>
      </c>
      <c r="F14" s="23" t="s">
        <v>172</v>
      </c>
      <c r="G14" s="18" t="s">
        <v>16</v>
      </c>
      <c r="H14" s="18">
        <v>123</v>
      </c>
      <c r="I14" s="24">
        <v>0.10298611111111111</v>
      </c>
      <c r="J14" s="20">
        <v>0.011423611111111112</v>
      </c>
      <c r="K14" s="18"/>
      <c r="L14" s="24">
        <v>0.05535879629629629</v>
      </c>
      <c r="M14" s="20">
        <v>0.0031712962962962958</v>
      </c>
      <c r="N14" s="42">
        <v>0.03314814814814815</v>
      </c>
      <c r="O14" s="18" t="s">
        <v>40</v>
      </c>
      <c r="P14" s="18"/>
      <c r="Q14" s="18"/>
    </row>
    <row r="15" spans="1:17" ht="12.75">
      <c r="A15">
        <f t="shared" si="1"/>
        <v>4</v>
      </c>
      <c r="B15" s="22">
        <v>32292</v>
      </c>
      <c r="C15" s="41" t="s">
        <v>18</v>
      </c>
      <c r="D15" s="18" t="s">
        <v>521</v>
      </c>
      <c r="E15" s="41" t="s">
        <v>469</v>
      </c>
      <c r="F15" s="23" t="s">
        <v>268</v>
      </c>
      <c r="G15" s="18" t="s">
        <v>19</v>
      </c>
      <c r="H15" s="18">
        <v>1</v>
      </c>
      <c r="I15" s="24">
        <v>0.04719907407407407</v>
      </c>
      <c r="J15" s="20"/>
      <c r="K15" s="18"/>
      <c r="L15" s="18"/>
      <c r="M15" s="20"/>
      <c r="N15" s="18"/>
      <c r="O15" s="18" t="s">
        <v>40</v>
      </c>
      <c r="P15" s="18" t="s">
        <v>397</v>
      </c>
      <c r="Q15" s="18"/>
    </row>
    <row r="16" spans="1:17" ht="12.75">
      <c r="A16">
        <f t="shared" si="1"/>
        <v>5</v>
      </c>
      <c r="B16" s="22">
        <v>32376</v>
      </c>
      <c r="C16" s="18" t="s">
        <v>13</v>
      </c>
      <c r="D16" s="18" t="s">
        <v>521</v>
      </c>
      <c r="E16" s="18" t="s">
        <v>469</v>
      </c>
      <c r="F16" s="23" t="s">
        <v>172</v>
      </c>
      <c r="G16" s="18" t="s">
        <v>16</v>
      </c>
      <c r="H16" s="18">
        <v>35</v>
      </c>
      <c r="I16" s="24">
        <v>0.09630787037037036</v>
      </c>
      <c r="J16" s="20">
        <v>0.011226851851851854</v>
      </c>
      <c r="K16" s="18"/>
      <c r="L16" s="24">
        <v>0.05168981481481482</v>
      </c>
      <c r="M16" s="20">
        <v>0.0027199074074074074</v>
      </c>
      <c r="N16" s="24">
        <v>0.030671296296296294</v>
      </c>
      <c r="O16" s="18" t="s">
        <v>40</v>
      </c>
      <c r="P16" s="18"/>
      <c r="Q16" s="18"/>
    </row>
    <row r="17" spans="1:17" ht="12.75">
      <c r="A17">
        <f t="shared" si="1"/>
        <v>6</v>
      </c>
      <c r="B17" s="22">
        <v>32390</v>
      </c>
      <c r="C17" s="18" t="s">
        <v>21</v>
      </c>
      <c r="D17" s="18" t="s">
        <v>521</v>
      </c>
      <c r="E17" s="18" t="s">
        <v>469</v>
      </c>
      <c r="F17" s="23" t="s">
        <v>172</v>
      </c>
      <c r="G17" s="18" t="s">
        <v>16</v>
      </c>
      <c r="H17" s="18">
        <v>12</v>
      </c>
      <c r="I17" s="24">
        <v>0.09332175925925927</v>
      </c>
      <c r="J17" s="20">
        <v>0.010844907407407407</v>
      </c>
      <c r="K17" s="18"/>
      <c r="L17" s="24">
        <v>0.051550925925925924</v>
      </c>
      <c r="M17" s="20">
        <v>0.002349537037037037</v>
      </c>
      <c r="N17" s="24">
        <v>0.028576388888888887</v>
      </c>
      <c r="O17" s="18" t="s">
        <v>40</v>
      </c>
      <c r="P17" s="18"/>
      <c r="Q17" s="18"/>
    </row>
    <row r="18" spans="1:17" ht="12.75">
      <c r="A18">
        <f t="shared" si="1"/>
        <v>7</v>
      </c>
      <c r="B18" s="22">
        <v>32656</v>
      </c>
      <c r="C18" s="41" t="s">
        <v>18</v>
      </c>
      <c r="D18" s="18" t="s">
        <v>521</v>
      </c>
      <c r="E18" s="41" t="s">
        <v>469</v>
      </c>
      <c r="F18" s="23" t="s">
        <v>172</v>
      </c>
      <c r="G18" s="18" t="s">
        <v>16</v>
      </c>
      <c r="H18" s="18">
        <v>97</v>
      </c>
      <c r="I18" s="24">
        <v>0.11440972222222223</v>
      </c>
      <c r="J18" s="20">
        <v>0.010798611111111111</v>
      </c>
      <c r="K18" s="18"/>
      <c r="L18" s="24">
        <v>0.057060185185185186</v>
      </c>
      <c r="M18" s="20">
        <v>0.001967592592592593</v>
      </c>
      <c r="N18" s="24">
        <v>0.044652777777777784</v>
      </c>
      <c r="O18" s="18" t="s">
        <v>40</v>
      </c>
      <c r="P18" s="18"/>
      <c r="Q18" s="18"/>
    </row>
    <row r="19" spans="1:17" ht="12.75">
      <c r="A19">
        <f t="shared" si="1"/>
        <v>8</v>
      </c>
      <c r="B19" s="22">
        <v>32663</v>
      </c>
      <c r="C19" s="18" t="s">
        <v>22</v>
      </c>
      <c r="D19" s="18" t="s">
        <v>521</v>
      </c>
      <c r="E19" s="18" t="s">
        <v>469</v>
      </c>
      <c r="F19" s="23" t="s">
        <v>172</v>
      </c>
      <c r="G19" s="18" t="s">
        <v>16</v>
      </c>
      <c r="H19" s="18">
        <v>52</v>
      </c>
      <c r="I19" s="24">
        <v>0.10341435185185184</v>
      </c>
      <c r="J19" s="20">
        <v>0.011655092592592594</v>
      </c>
      <c r="K19" s="18"/>
      <c r="L19" s="24">
        <v>0.05694444444444444</v>
      </c>
      <c r="M19" s="20">
        <v>0.0023958333333333336</v>
      </c>
      <c r="N19" s="42">
        <v>0.03241898148148148</v>
      </c>
      <c r="O19" s="18" t="s">
        <v>40</v>
      </c>
      <c r="P19" s="18"/>
      <c r="Q19" s="18"/>
    </row>
    <row r="20" spans="1:17" ht="12.75">
      <c r="A20">
        <f t="shared" si="1"/>
        <v>9</v>
      </c>
      <c r="B20" s="22">
        <v>32680</v>
      </c>
      <c r="C20" s="18" t="s">
        <v>23</v>
      </c>
      <c r="D20" s="18" t="s">
        <v>521</v>
      </c>
      <c r="E20" s="18" t="s">
        <v>469</v>
      </c>
      <c r="F20" s="23" t="s">
        <v>172</v>
      </c>
      <c r="G20" s="18" t="s">
        <v>16</v>
      </c>
      <c r="H20" s="18">
        <v>21</v>
      </c>
      <c r="I20" s="24">
        <v>0.09363425925925926</v>
      </c>
      <c r="J20" s="20">
        <v>0.011423611111111112</v>
      </c>
      <c r="K20" s="18"/>
      <c r="L20" s="24">
        <v>0.05116898148148149</v>
      </c>
      <c r="M20" s="20">
        <v>0.001990740740740741</v>
      </c>
      <c r="N20" s="24">
        <v>0.029050925925925928</v>
      </c>
      <c r="O20" s="18" t="s">
        <v>40</v>
      </c>
      <c r="P20" s="18"/>
      <c r="Q20" s="18"/>
    </row>
    <row r="21" spans="1:17" ht="12.75">
      <c r="A21">
        <f t="shared" si="1"/>
        <v>10</v>
      </c>
      <c r="B21" s="22">
        <v>32691</v>
      </c>
      <c r="C21" s="18" t="s">
        <v>24</v>
      </c>
      <c r="D21" s="18" t="s">
        <v>521</v>
      </c>
      <c r="E21" s="18" t="s">
        <v>469</v>
      </c>
      <c r="F21" s="23" t="s">
        <v>172</v>
      </c>
      <c r="G21" s="18" t="s">
        <v>63</v>
      </c>
      <c r="H21" s="18">
        <v>1</v>
      </c>
      <c r="I21" s="24">
        <v>0.08398148148148149</v>
      </c>
      <c r="J21" s="20">
        <v>0.011469907407407408</v>
      </c>
      <c r="K21" s="18"/>
      <c r="L21" s="24">
        <v>0.04439814814814815</v>
      </c>
      <c r="M21" s="20">
        <f>I21-J21-L21-N21</f>
        <v>0</v>
      </c>
      <c r="N21" s="24">
        <v>0.028113425925925927</v>
      </c>
      <c r="O21" s="18" t="s">
        <v>40</v>
      </c>
      <c r="P21" s="18"/>
      <c r="Q21" s="18"/>
    </row>
    <row r="22" spans="1:17" ht="12.75">
      <c r="A22">
        <f t="shared" si="1"/>
        <v>11</v>
      </c>
      <c r="B22" s="22">
        <v>32748</v>
      </c>
      <c r="C22" s="18" t="s">
        <v>13</v>
      </c>
      <c r="D22" s="18" t="s">
        <v>521</v>
      </c>
      <c r="E22" s="18" t="s">
        <v>469</v>
      </c>
      <c r="F22" s="23" t="s">
        <v>172</v>
      </c>
      <c r="G22" s="18" t="s">
        <v>16</v>
      </c>
      <c r="H22" s="18">
        <v>20</v>
      </c>
      <c r="I22" s="24">
        <v>0.0913310185185185</v>
      </c>
      <c r="J22" s="20">
        <v>0.011620370370370371</v>
      </c>
      <c r="K22" s="18"/>
      <c r="L22" s="24">
        <v>0.049918981481481474</v>
      </c>
      <c r="M22" s="20">
        <f>I22-J22-L22-N22</f>
        <v>0.002199074074074058</v>
      </c>
      <c r="N22" s="24">
        <v>0.027592592592592596</v>
      </c>
      <c r="O22" s="18" t="s">
        <v>40</v>
      </c>
      <c r="P22" s="18"/>
      <c r="Q22" s="18"/>
    </row>
    <row r="23" spans="1:17" ht="12.75">
      <c r="A23">
        <f t="shared" si="1"/>
        <v>12</v>
      </c>
      <c r="B23" s="22">
        <v>32754</v>
      </c>
      <c r="C23" s="18" t="s">
        <v>21</v>
      </c>
      <c r="D23" s="18" t="s">
        <v>521</v>
      </c>
      <c r="E23" s="18" t="s">
        <v>469</v>
      </c>
      <c r="F23" s="23" t="s">
        <v>172</v>
      </c>
      <c r="G23" s="18" t="s">
        <v>16</v>
      </c>
      <c r="H23" s="18">
        <v>9</v>
      </c>
      <c r="I23" s="20">
        <v>0.08820601851851852</v>
      </c>
      <c r="J23" s="20">
        <v>0.01042824074074074</v>
      </c>
      <c r="K23" s="18"/>
      <c r="L23" s="24">
        <v>0.04900462962962963</v>
      </c>
      <c r="M23" s="20">
        <v>0.002870370370370371</v>
      </c>
      <c r="N23" s="24">
        <v>0.025902777777777775</v>
      </c>
      <c r="O23" s="18" t="s">
        <v>40</v>
      </c>
      <c r="P23" s="18"/>
      <c r="Q23" s="18"/>
    </row>
    <row r="24" spans="1:17" ht="12.75">
      <c r="A24">
        <f t="shared" si="1"/>
        <v>13</v>
      </c>
      <c r="B24" s="22">
        <v>33111</v>
      </c>
      <c r="C24" s="18" t="s">
        <v>13</v>
      </c>
      <c r="D24" s="18" t="s">
        <v>521</v>
      </c>
      <c r="E24" s="18" t="s">
        <v>469</v>
      </c>
      <c r="F24" s="23" t="s">
        <v>172</v>
      </c>
      <c r="G24" s="18" t="s">
        <v>16</v>
      </c>
      <c r="H24" s="18">
        <v>24</v>
      </c>
      <c r="I24" s="20">
        <v>0.09177083333333334</v>
      </c>
      <c r="J24" s="20">
        <v>0.010729166666666666</v>
      </c>
      <c r="K24" s="18"/>
      <c r="L24" s="24">
        <v>0.050567129629629635</v>
      </c>
      <c r="M24" s="20">
        <v>0.0017592592592592592</v>
      </c>
      <c r="N24" s="24">
        <v>0.02871527777777778</v>
      </c>
      <c r="O24" s="18" t="s">
        <v>40</v>
      </c>
      <c r="P24" s="18"/>
      <c r="Q24" s="18"/>
    </row>
    <row r="25" spans="1:17" ht="12.75">
      <c r="A25">
        <f t="shared" si="1"/>
        <v>14</v>
      </c>
      <c r="B25" s="22">
        <v>33118</v>
      </c>
      <c r="C25" s="18" t="s">
        <v>21</v>
      </c>
      <c r="D25" s="18" t="s">
        <v>521</v>
      </c>
      <c r="E25" s="18" t="s">
        <v>469</v>
      </c>
      <c r="F25" s="23" t="s">
        <v>172</v>
      </c>
      <c r="G25" s="18" t="s">
        <v>16</v>
      </c>
      <c r="H25" s="18">
        <v>9</v>
      </c>
      <c r="I25" s="24">
        <v>0.08324074074074074</v>
      </c>
      <c r="J25" s="20">
        <v>0.009849537037037037</v>
      </c>
      <c r="K25" s="18"/>
      <c r="L25" s="24">
        <v>0.04471064814814815</v>
      </c>
      <c r="M25" s="20">
        <v>0.0018171296296296297</v>
      </c>
      <c r="N25" s="24">
        <v>0.026863425925925926</v>
      </c>
      <c r="O25" s="18" t="s">
        <v>40</v>
      </c>
      <c r="P25" s="18"/>
      <c r="Q25" s="18"/>
    </row>
    <row r="26" spans="1:17" ht="12.75">
      <c r="A26">
        <f t="shared" si="1"/>
        <v>15</v>
      </c>
      <c r="B26" s="22">
        <v>33124</v>
      </c>
      <c r="C26" s="18" t="s">
        <v>26</v>
      </c>
      <c r="D26" s="18" t="s">
        <v>521</v>
      </c>
      <c r="E26" s="18" t="s">
        <v>469</v>
      </c>
      <c r="F26" s="23" t="s">
        <v>172</v>
      </c>
      <c r="G26" s="18" t="s">
        <v>76</v>
      </c>
      <c r="H26" s="18">
        <v>6</v>
      </c>
      <c r="I26" s="24">
        <v>0.09108796296296295</v>
      </c>
      <c r="J26" s="20">
        <v>0.009409722222222224</v>
      </c>
      <c r="K26" s="18"/>
      <c r="L26" s="24">
        <v>0.053807870370370374</v>
      </c>
      <c r="M26" s="20">
        <f>I26-J26-L26-N26</f>
        <v>0</v>
      </c>
      <c r="N26" s="24">
        <v>0.02787037037037037</v>
      </c>
      <c r="O26" s="18" t="s">
        <v>27</v>
      </c>
      <c r="P26" s="18"/>
      <c r="Q26" s="18" t="s">
        <v>155</v>
      </c>
    </row>
    <row r="27" spans="1:17" ht="12.75">
      <c r="A27">
        <f t="shared" si="1"/>
        <v>16</v>
      </c>
      <c r="B27" s="22">
        <v>33132</v>
      </c>
      <c r="C27" s="18" t="s">
        <v>25</v>
      </c>
      <c r="D27" s="18" t="s">
        <v>521</v>
      </c>
      <c r="E27" s="18" t="s">
        <v>469</v>
      </c>
      <c r="F27" s="23" t="s">
        <v>172</v>
      </c>
      <c r="G27" s="18" t="s">
        <v>16</v>
      </c>
      <c r="H27" s="18">
        <v>2</v>
      </c>
      <c r="I27" s="24">
        <v>0.08827546296296296</v>
      </c>
      <c r="J27" s="20">
        <v>0.010300925925925927</v>
      </c>
      <c r="K27" s="18"/>
      <c r="L27" s="24">
        <v>0.04793981481481482</v>
      </c>
      <c r="M27" s="20">
        <v>0.0009143518518518518</v>
      </c>
      <c r="N27" s="24">
        <v>0.029120370370370366</v>
      </c>
      <c r="O27" s="18" t="s">
        <v>400</v>
      </c>
      <c r="P27" s="18"/>
      <c r="Q27" s="18"/>
    </row>
    <row r="28" spans="1:17" ht="12.75">
      <c r="A28">
        <f t="shared" si="1"/>
        <v>17</v>
      </c>
      <c r="B28" s="43">
        <v>33188</v>
      </c>
      <c r="C28" s="39" t="s">
        <v>31</v>
      </c>
      <c r="D28" s="18" t="s">
        <v>521</v>
      </c>
      <c r="E28" s="39" t="s">
        <v>448</v>
      </c>
      <c r="F28" s="44" t="s">
        <v>29</v>
      </c>
      <c r="G28" s="39" t="s">
        <v>56</v>
      </c>
      <c r="H28" s="18">
        <v>14</v>
      </c>
      <c r="I28" s="45">
        <v>0.05694444444444444</v>
      </c>
      <c r="J28" s="47"/>
      <c r="K28" s="39"/>
      <c r="L28" s="46">
        <v>0.03107638888888889</v>
      </c>
      <c r="M28" s="20">
        <f>I28-J28-L28-N28</f>
        <v>0</v>
      </c>
      <c r="N28" s="47">
        <v>0.025868055555555557</v>
      </c>
      <c r="O28" s="60" t="s">
        <v>498</v>
      </c>
      <c r="P28" s="39" t="s">
        <v>397</v>
      </c>
      <c r="Q28" s="39"/>
    </row>
    <row r="29" spans="1:17" ht="12.75">
      <c r="A29">
        <f t="shared" si="1"/>
        <v>18</v>
      </c>
      <c r="B29" s="43">
        <v>33216</v>
      </c>
      <c r="C29" s="39" t="s">
        <v>149</v>
      </c>
      <c r="D29" s="39" t="s">
        <v>148</v>
      </c>
      <c r="E29" s="39" t="s">
        <v>448</v>
      </c>
      <c r="F29" s="44" t="s">
        <v>29</v>
      </c>
      <c r="G29" s="39" t="s">
        <v>56</v>
      </c>
      <c r="H29" s="18">
        <v>15</v>
      </c>
      <c r="I29" s="45">
        <v>0.060277777777777784</v>
      </c>
      <c r="J29" s="47">
        <v>0.013460648148148147</v>
      </c>
      <c r="K29" s="39"/>
      <c r="L29" s="46">
        <v>0.032407407407407406</v>
      </c>
      <c r="M29" s="20">
        <f>I29-J29-L29-N29</f>
        <v>0</v>
      </c>
      <c r="N29" s="47">
        <v>0.014409722222222221</v>
      </c>
      <c r="O29" s="60" t="s">
        <v>498</v>
      </c>
      <c r="P29" s="39"/>
      <c r="Q29" s="39"/>
    </row>
    <row r="30" spans="1:17" ht="12.75">
      <c r="A30">
        <f t="shared" si="1"/>
        <v>19</v>
      </c>
      <c r="B30" s="22">
        <v>33251</v>
      </c>
      <c r="C30" s="18" t="s">
        <v>28</v>
      </c>
      <c r="D30" s="18" t="s">
        <v>521</v>
      </c>
      <c r="E30" s="18" t="s">
        <v>448</v>
      </c>
      <c r="F30" s="18" t="s">
        <v>29</v>
      </c>
      <c r="G30" s="18" t="s">
        <v>77</v>
      </c>
      <c r="H30" s="18">
        <v>13</v>
      </c>
      <c r="I30" s="24">
        <v>0.059340277777777777</v>
      </c>
      <c r="J30" s="20">
        <v>0.014270833333333335</v>
      </c>
      <c r="K30" s="18"/>
      <c r="L30" s="24">
        <v>0.03326388888888889</v>
      </c>
      <c r="M30" s="20">
        <f>I30-J30-L30-N30</f>
        <v>0</v>
      </c>
      <c r="N30" s="20">
        <v>0.011805555555555555</v>
      </c>
      <c r="O30" s="60" t="s">
        <v>498</v>
      </c>
      <c r="P30" s="18"/>
      <c r="Q30" s="18"/>
    </row>
    <row r="31" spans="1:17" ht="12.75">
      <c r="A31">
        <f t="shared" si="1"/>
        <v>20</v>
      </c>
      <c r="B31" s="22">
        <v>33307</v>
      </c>
      <c r="C31" s="18" t="s">
        <v>72</v>
      </c>
      <c r="D31" s="18" t="s">
        <v>521</v>
      </c>
      <c r="E31" s="18" t="s">
        <v>448</v>
      </c>
      <c r="F31" s="18" t="s">
        <v>29</v>
      </c>
      <c r="G31" s="18" t="s">
        <v>78</v>
      </c>
      <c r="H31" s="18">
        <v>16</v>
      </c>
      <c r="I31" s="24">
        <v>0.06100694444444444</v>
      </c>
      <c r="J31" s="20">
        <v>0.012129629629629629</v>
      </c>
      <c r="K31" s="18"/>
      <c r="L31" s="24">
        <v>0.03584490740740741</v>
      </c>
      <c r="M31" s="20">
        <f>I31-J31-L31-N31</f>
        <v>0.0005324074074074016</v>
      </c>
      <c r="N31" s="20">
        <v>0.0125</v>
      </c>
      <c r="O31" s="60" t="s">
        <v>498</v>
      </c>
      <c r="P31" s="18"/>
      <c r="Q31" s="18"/>
    </row>
    <row r="32" spans="1:17" ht="12.75">
      <c r="A32">
        <f t="shared" si="1"/>
        <v>21</v>
      </c>
      <c r="B32" s="22">
        <v>33358</v>
      </c>
      <c r="C32" s="18" t="s">
        <v>32</v>
      </c>
      <c r="D32" s="18" t="s">
        <v>521</v>
      </c>
      <c r="E32" s="18" t="s">
        <v>448</v>
      </c>
      <c r="F32" s="18" t="s">
        <v>29</v>
      </c>
      <c r="G32" s="18" t="s">
        <v>62</v>
      </c>
      <c r="H32" s="18">
        <v>53</v>
      </c>
      <c r="I32" s="24">
        <v>0.05917824074074074</v>
      </c>
      <c r="J32" s="20"/>
      <c r="K32" s="18"/>
      <c r="L32" s="24">
        <v>0.033680555555555554</v>
      </c>
      <c r="M32" s="20">
        <f>I32-N32-L32</f>
        <v>0</v>
      </c>
      <c r="N32" s="20">
        <v>0.02549768518518519</v>
      </c>
      <c r="O32" s="18" t="s">
        <v>33</v>
      </c>
      <c r="P32" s="18"/>
      <c r="Q32" s="18" t="s">
        <v>33</v>
      </c>
    </row>
    <row r="33" spans="1:17" ht="12.75">
      <c r="A33">
        <f t="shared" si="1"/>
        <v>22</v>
      </c>
      <c r="B33" s="22">
        <v>33376</v>
      </c>
      <c r="C33" s="18" t="s">
        <v>34</v>
      </c>
      <c r="D33" s="18" t="s">
        <v>521</v>
      </c>
      <c r="E33" s="18" t="s">
        <v>469</v>
      </c>
      <c r="F33" s="23" t="s">
        <v>172</v>
      </c>
      <c r="G33" s="18" t="s">
        <v>81</v>
      </c>
      <c r="H33" s="18">
        <v>11</v>
      </c>
      <c r="I33" s="24">
        <v>0.0777662037037037</v>
      </c>
      <c r="J33" s="20">
        <v>0.009837962962962963</v>
      </c>
      <c r="K33" s="18"/>
      <c r="L33" s="24">
        <v>0.04398148148148148</v>
      </c>
      <c r="M33" s="20">
        <f>I33-J33-L33-N33</f>
        <v>0.0010300925925925825</v>
      </c>
      <c r="N33" s="24">
        <v>0.02291666666666667</v>
      </c>
      <c r="O33" s="18" t="s">
        <v>35</v>
      </c>
      <c r="P33" s="18"/>
      <c r="Q33" s="18"/>
    </row>
    <row r="34" spans="1:17" ht="12.75">
      <c r="A34">
        <f t="shared" si="1"/>
        <v>23</v>
      </c>
      <c r="B34" s="22">
        <v>33391</v>
      </c>
      <c r="C34" s="18" t="s">
        <v>22</v>
      </c>
      <c r="D34" s="18" t="s">
        <v>521</v>
      </c>
      <c r="E34" s="18" t="s">
        <v>469</v>
      </c>
      <c r="F34" s="23" t="s">
        <v>172</v>
      </c>
      <c r="G34" s="18" t="s">
        <v>82</v>
      </c>
      <c r="H34" s="18">
        <v>1</v>
      </c>
      <c r="I34" s="20">
        <v>0.08415509259259259</v>
      </c>
      <c r="J34" s="20">
        <v>0.009918981481481482</v>
      </c>
      <c r="K34" s="18"/>
      <c r="L34" s="24">
        <v>0.04695601851851852</v>
      </c>
      <c r="M34" s="20">
        <f>I34-J34-L34-N34</f>
        <v>0</v>
      </c>
      <c r="N34" s="24">
        <v>0.027280092592592592</v>
      </c>
      <c r="O34" s="18" t="s">
        <v>40</v>
      </c>
      <c r="P34" s="18"/>
      <c r="Q34" s="18"/>
    </row>
    <row r="35" spans="1:17" ht="12.75">
      <c r="A35">
        <f t="shared" si="1"/>
        <v>24</v>
      </c>
      <c r="B35" s="22">
        <v>33397</v>
      </c>
      <c r="C35" s="18" t="s">
        <v>36</v>
      </c>
      <c r="D35" s="18" t="s">
        <v>521</v>
      </c>
      <c r="E35" s="18" t="s">
        <v>469</v>
      </c>
      <c r="F35" s="23" t="s">
        <v>172</v>
      </c>
      <c r="G35" s="18" t="s">
        <v>64</v>
      </c>
      <c r="H35" s="18">
        <v>15</v>
      </c>
      <c r="I35" s="24">
        <v>0.0912962962962963</v>
      </c>
      <c r="J35" s="20">
        <v>0.014421296296296295</v>
      </c>
      <c r="K35" s="18"/>
      <c r="L35" s="24">
        <v>0.04774305555555555</v>
      </c>
      <c r="M35" s="20">
        <v>0.001365740740740741</v>
      </c>
      <c r="N35" s="24">
        <v>0.027696759259259258</v>
      </c>
      <c r="O35" s="18" t="s">
        <v>37</v>
      </c>
      <c r="P35" s="18"/>
      <c r="Q35" s="18"/>
    </row>
    <row r="36" spans="1:17" ht="12.75">
      <c r="A36">
        <f t="shared" si="1"/>
        <v>25</v>
      </c>
      <c r="B36" s="22">
        <v>33405</v>
      </c>
      <c r="C36" s="18" t="s">
        <v>39</v>
      </c>
      <c r="D36" s="18" t="s">
        <v>521</v>
      </c>
      <c r="E36" s="18" t="s">
        <v>469</v>
      </c>
      <c r="F36" s="23" t="s">
        <v>172</v>
      </c>
      <c r="G36" s="18" t="s">
        <v>67</v>
      </c>
      <c r="H36" s="18">
        <v>12</v>
      </c>
      <c r="I36" s="24">
        <v>0.08439814814814815</v>
      </c>
      <c r="J36" s="20">
        <v>0.010023148148148147</v>
      </c>
      <c r="K36" s="18"/>
      <c r="L36" s="24">
        <v>0.046875</v>
      </c>
      <c r="M36" s="20">
        <v>0.0017824074074074072</v>
      </c>
      <c r="N36" s="24">
        <v>0.025717592592592594</v>
      </c>
      <c r="O36" s="18" t="s">
        <v>577</v>
      </c>
      <c r="P36" s="18"/>
      <c r="Q36" s="18"/>
    </row>
    <row r="37" spans="1:17" ht="12.75">
      <c r="A37">
        <f t="shared" si="1"/>
        <v>26</v>
      </c>
      <c r="B37" s="22">
        <v>33412</v>
      </c>
      <c r="C37" s="18" t="s">
        <v>23</v>
      </c>
      <c r="D37" s="18" t="s">
        <v>521</v>
      </c>
      <c r="E37" s="18" t="s">
        <v>469</v>
      </c>
      <c r="F37" s="23" t="s">
        <v>172</v>
      </c>
      <c r="G37" s="18" t="s">
        <v>83</v>
      </c>
      <c r="H37" s="18">
        <v>2</v>
      </c>
      <c r="I37" s="20">
        <v>0.0835185185185185</v>
      </c>
      <c r="J37" s="20">
        <v>0.010486111111111111</v>
      </c>
      <c r="K37" s="18"/>
      <c r="L37" s="24">
        <v>0.047071759259259265</v>
      </c>
      <c r="M37" s="20">
        <f>I37-J37-L37-N37</f>
        <v>0</v>
      </c>
      <c r="N37" s="24">
        <v>0.02596064814814815</v>
      </c>
      <c r="O37" s="18" t="s">
        <v>40</v>
      </c>
      <c r="P37" s="18"/>
      <c r="Q37" s="18"/>
    </row>
    <row r="38" spans="1:17" ht="12.75">
      <c r="A38">
        <f t="shared" si="1"/>
        <v>27</v>
      </c>
      <c r="B38" s="22">
        <v>33419</v>
      </c>
      <c r="C38" s="18" t="s">
        <v>65</v>
      </c>
      <c r="D38" s="18" t="s">
        <v>521</v>
      </c>
      <c r="E38" s="18" t="s">
        <v>469</v>
      </c>
      <c r="F38" s="23" t="s">
        <v>268</v>
      </c>
      <c r="G38" s="18" t="s">
        <v>578</v>
      </c>
      <c r="H38" s="18">
        <v>1</v>
      </c>
      <c r="I38" s="24">
        <v>0.04232638888888889</v>
      </c>
      <c r="J38" s="20">
        <v>0.004733796296296296</v>
      </c>
      <c r="K38" s="20">
        <v>0.0010532407407407407</v>
      </c>
      <c r="L38" s="24">
        <v>0.02445601851851852</v>
      </c>
      <c r="M38" s="20">
        <f>I38-J38-L38-N38-K38</f>
        <v>0</v>
      </c>
      <c r="N38" s="24">
        <v>0.012083333333333333</v>
      </c>
      <c r="O38" s="18"/>
      <c r="P38" s="18"/>
      <c r="Q38" s="18"/>
    </row>
    <row r="39" spans="1:17" ht="12.75">
      <c r="A39">
        <f t="shared" si="1"/>
        <v>28</v>
      </c>
      <c r="B39" s="22">
        <v>33460</v>
      </c>
      <c r="C39" s="18" t="s">
        <v>38</v>
      </c>
      <c r="D39" s="18" t="s">
        <v>521</v>
      </c>
      <c r="E39" s="18" t="s">
        <v>469</v>
      </c>
      <c r="F39" s="23" t="s">
        <v>172</v>
      </c>
      <c r="G39" s="18" t="s">
        <v>84</v>
      </c>
      <c r="H39" s="18">
        <v>11</v>
      </c>
      <c r="I39" s="24">
        <v>0.08292824074074073</v>
      </c>
      <c r="J39" s="20">
        <v>0.009537037037037037</v>
      </c>
      <c r="K39" s="18"/>
      <c r="L39" s="24">
        <v>0.0450462962962963</v>
      </c>
      <c r="M39" s="20">
        <v>0.0011342592592592591</v>
      </c>
      <c r="N39" s="24">
        <v>0.027210648148148147</v>
      </c>
      <c r="O39" s="18" t="s">
        <v>35</v>
      </c>
      <c r="P39" s="18"/>
      <c r="Q39" s="18"/>
    </row>
    <row r="40" spans="1:17" ht="12.75">
      <c r="A40">
        <f t="shared" si="1"/>
        <v>29</v>
      </c>
      <c r="B40" s="22">
        <v>33475</v>
      </c>
      <c r="C40" s="18" t="s">
        <v>13</v>
      </c>
      <c r="D40" s="18" t="s">
        <v>521</v>
      </c>
      <c r="E40" s="18" t="s">
        <v>469</v>
      </c>
      <c r="F40" s="23" t="s">
        <v>172</v>
      </c>
      <c r="G40" s="18" t="s">
        <v>67</v>
      </c>
      <c r="H40" s="18">
        <v>2</v>
      </c>
      <c r="I40" s="20">
        <v>0.08298611111111111</v>
      </c>
      <c r="J40" s="20">
        <v>0.009768518518518518</v>
      </c>
      <c r="K40" s="18"/>
      <c r="L40" s="24">
        <v>0.04636574074074074</v>
      </c>
      <c r="M40" s="20">
        <f>I40-J40-L40-N40-K40</f>
        <v>0.001481481481481476</v>
      </c>
      <c r="N40" s="24">
        <v>0.025370370370370366</v>
      </c>
      <c r="O40" s="18" t="s">
        <v>40</v>
      </c>
      <c r="P40" s="18"/>
      <c r="Q40" s="18"/>
    </row>
    <row r="41" spans="1:17" ht="12.75">
      <c r="A41">
        <f t="shared" si="1"/>
        <v>30</v>
      </c>
      <c r="B41" s="22">
        <v>33482</v>
      </c>
      <c r="C41" s="18" t="s">
        <v>21</v>
      </c>
      <c r="D41" s="18" t="s">
        <v>521</v>
      </c>
      <c r="E41" s="18" t="s">
        <v>469</v>
      </c>
      <c r="F41" s="23" t="s">
        <v>172</v>
      </c>
      <c r="G41" s="18" t="s">
        <v>85</v>
      </c>
      <c r="H41" s="18">
        <v>1</v>
      </c>
      <c r="I41" s="20">
        <v>0.08451388888888889</v>
      </c>
      <c r="J41" s="20">
        <v>0.009131944444444444</v>
      </c>
      <c r="K41" s="18"/>
      <c r="L41" s="24">
        <v>0.048518518518518516</v>
      </c>
      <c r="M41" s="20">
        <v>0.0014351851851851854</v>
      </c>
      <c r="N41" s="24">
        <v>0.025416666666666667</v>
      </c>
      <c r="O41" s="18" t="s">
        <v>40</v>
      </c>
      <c r="P41" s="18"/>
      <c r="Q41" s="18"/>
    </row>
    <row r="42" spans="1:17" ht="12.75">
      <c r="A42">
        <f t="shared" si="1"/>
        <v>31</v>
      </c>
      <c r="B42" s="22">
        <v>33489</v>
      </c>
      <c r="C42" s="18" t="s">
        <v>41</v>
      </c>
      <c r="D42" s="18" t="s">
        <v>521</v>
      </c>
      <c r="E42" s="18" t="s">
        <v>469</v>
      </c>
      <c r="F42" s="23" t="s">
        <v>175</v>
      </c>
      <c r="G42" s="18" t="s">
        <v>86</v>
      </c>
      <c r="H42" s="18">
        <v>17</v>
      </c>
      <c r="I42" s="24">
        <v>0.17753472222222222</v>
      </c>
      <c r="J42" s="20">
        <v>0.020613425925925927</v>
      </c>
      <c r="K42" s="18"/>
      <c r="L42" s="24">
        <v>0.0974074074074074</v>
      </c>
      <c r="M42" s="20">
        <f>I42-J42-L42-N42</f>
        <v>0</v>
      </c>
      <c r="N42" s="24">
        <v>0.05951388888888889</v>
      </c>
      <c r="O42" s="18" t="s">
        <v>35</v>
      </c>
      <c r="P42" s="18"/>
      <c r="Q42" s="18"/>
    </row>
    <row r="43" spans="1:17" ht="12.75">
      <c r="A43">
        <f t="shared" si="1"/>
        <v>32</v>
      </c>
      <c r="B43" s="22">
        <v>33496</v>
      </c>
      <c r="C43" s="18" t="s">
        <v>68</v>
      </c>
      <c r="D43" s="18" t="s">
        <v>521</v>
      </c>
      <c r="E43" s="18" t="s">
        <v>469</v>
      </c>
      <c r="F43" s="23" t="s">
        <v>172</v>
      </c>
      <c r="G43" s="16" t="s">
        <v>87</v>
      </c>
      <c r="H43" s="18">
        <v>5</v>
      </c>
      <c r="I43" s="24">
        <v>0.07905092592592593</v>
      </c>
      <c r="J43" s="20">
        <v>0.01054398148148148</v>
      </c>
      <c r="K43" s="18"/>
      <c r="L43" s="24">
        <v>0.045092592592592594</v>
      </c>
      <c r="M43" s="20">
        <f>I43-J43-L43-N43</f>
        <v>0</v>
      </c>
      <c r="N43" s="24">
        <v>0.023414351851851853</v>
      </c>
      <c r="O43" s="18" t="s">
        <v>27</v>
      </c>
      <c r="P43" s="18"/>
      <c r="Q43" s="18" t="s">
        <v>155</v>
      </c>
    </row>
    <row r="44" spans="1:17" ht="12.75">
      <c r="A44">
        <f t="shared" si="1"/>
        <v>33</v>
      </c>
      <c r="B44" s="22">
        <v>33531</v>
      </c>
      <c r="C44" s="18" t="s">
        <v>30</v>
      </c>
      <c r="D44" s="18" t="s">
        <v>521</v>
      </c>
      <c r="E44" s="18" t="s">
        <v>448</v>
      </c>
      <c r="F44" s="18" t="s">
        <v>29</v>
      </c>
      <c r="G44" s="16" t="s">
        <v>62</v>
      </c>
      <c r="H44" s="18">
        <v>2</v>
      </c>
      <c r="I44" s="24">
        <v>0.06087962962962964</v>
      </c>
      <c r="J44" s="20">
        <v>0.018252314814814815</v>
      </c>
      <c r="K44" s="18"/>
      <c r="L44" s="24">
        <v>0.03315972222222222</v>
      </c>
      <c r="M44" s="20">
        <f>I44-J44-L44-N44</f>
        <v>0</v>
      </c>
      <c r="N44" s="20">
        <v>0.009467592592592592</v>
      </c>
      <c r="O44" s="18"/>
      <c r="P44" s="18"/>
      <c r="Q44" s="18"/>
    </row>
    <row r="45" spans="1:17" ht="12.75">
      <c r="A45">
        <f t="shared" si="1"/>
        <v>34</v>
      </c>
      <c r="B45" s="22">
        <v>33566</v>
      </c>
      <c r="C45" s="18" t="s">
        <v>31</v>
      </c>
      <c r="D45" s="18" t="s">
        <v>521</v>
      </c>
      <c r="E45" s="18" t="s">
        <v>448</v>
      </c>
      <c r="F45" s="18" t="s">
        <v>29</v>
      </c>
      <c r="G45" s="18" t="s">
        <v>69</v>
      </c>
      <c r="H45" s="18">
        <v>2</v>
      </c>
      <c r="I45" s="24">
        <v>0.058194444444444444</v>
      </c>
      <c r="J45" s="20">
        <v>0.019976851851851853</v>
      </c>
      <c r="K45" s="18"/>
      <c r="L45" s="24">
        <v>0.031331018518518515</v>
      </c>
      <c r="M45" s="20">
        <f>I45-J45-L45-N45</f>
        <v>0</v>
      </c>
      <c r="N45" s="20">
        <v>0.006886574074074074</v>
      </c>
      <c r="O45" s="18"/>
      <c r="P45" s="18"/>
      <c r="Q45" s="18"/>
    </row>
    <row r="46" spans="1:17" ht="12.75">
      <c r="A46">
        <f t="shared" si="1"/>
        <v>35</v>
      </c>
      <c r="B46" s="22">
        <v>33622</v>
      </c>
      <c r="C46" s="16" t="s">
        <v>28</v>
      </c>
      <c r="D46" s="18" t="s">
        <v>521</v>
      </c>
      <c r="E46" s="16" t="s">
        <v>448</v>
      </c>
      <c r="F46" s="16" t="s">
        <v>29</v>
      </c>
      <c r="G46" s="16" t="s">
        <v>74</v>
      </c>
      <c r="H46" s="18">
        <v>7</v>
      </c>
      <c r="I46" s="24">
        <v>0.05644675925925926</v>
      </c>
      <c r="J46" s="20">
        <v>0.0171875</v>
      </c>
      <c r="K46" s="18"/>
      <c r="L46" s="24">
        <v>0.03231481481481482</v>
      </c>
      <c r="M46" s="20">
        <f>I46-J46-L46-N46</f>
        <v>0</v>
      </c>
      <c r="N46" s="20">
        <v>0.006944444444444444</v>
      </c>
      <c r="O46" s="16" t="s">
        <v>339</v>
      </c>
      <c r="P46" s="18"/>
      <c r="Q46" s="18"/>
    </row>
    <row r="47" spans="1:17" ht="12.75">
      <c r="A47">
        <f t="shared" si="1"/>
        <v>36</v>
      </c>
      <c r="B47" s="22">
        <v>33678</v>
      </c>
      <c r="C47" s="16" t="s">
        <v>72</v>
      </c>
      <c r="D47" s="18" t="s">
        <v>521</v>
      </c>
      <c r="E47" s="16" t="s">
        <v>448</v>
      </c>
      <c r="F47" s="16" t="s">
        <v>29</v>
      </c>
      <c r="G47" s="16" t="s">
        <v>69</v>
      </c>
      <c r="H47" s="18">
        <v>18</v>
      </c>
      <c r="I47" s="24">
        <v>0.05684027777777778</v>
      </c>
      <c r="J47" s="20">
        <v>0.017627314814814814</v>
      </c>
      <c r="K47" s="18"/>
      <c r="L47" s="18"/>
      <c r="M47" s="18"/>
      <c r="N47" s="20"/>
      <c r="O47" s="18"/>
      <c r="P47" s="18" t="s">
        <v>582</v>
      </c>
      <c r="Q47" s="18"/>
    </row>
    <row r="48" spans="1:17" ht="12.75">
      <c r="A48">
        <f t="shared" si="1"/>
        <v>37</v>
      </c>
      <c r="B48" s="22">
        <v>33741</v>
      </c>
      <c r="C48" s="16" t="s">
        <v>25</v>
      </c>
      <c r="D48" s="18" t="s">
        <v>521</v>
      </c>
      <c r="E48" s="16" t="s">
        <v>469</v>
      </c>
      <c r="F48" s="23" t="s">
        <v>172</v>
      </c>
      <c r="G48" s="18" t="s">
        <v>112</v>
      </c>
      <c r="H48" s="18">
        <v>1</v>
      </c>
      <c r="I48" s="24">
        <v>0.08594907407407408</v>
      </c>
      <c r="J48" s="20">
        <v>0.009108796296296297</v>
      </c>
      <c r="K48" s="18"/>
      <c r="L48" s="24">
        <v>0.05068287037037037</v>
      </c>
      <c r="M48" s="20">
        <f>I48-J48-L48-N48</f>
        <v>0</v>
      </c>
      <c r="N48" s="24">
        <v>0.026157407407407407</v>
      </c>
      <c r="O48" s="18" t="s">
        <v>400</v>
      </c>
      <c r="P48" s="18"/>
      <c r="Q48" s="18"/>
    </row>
    <row r="49" spans="1:17" ht="12.75">
      <c r="A49">
        <f t="shared" si="1"/>
        <v>38</v>
      </c>
      <c r="B49" s="22">
        <v>33755</v>
      </c>
      <c r="C49" s="16" t="s">
        <v>89</v>
      </c>
      <c r="D49" s="18" t="s">
        <v>521</v>
      </c>
      <c r="E49" s="16" t="s">
        <v>469</v>
      </c>
      <c r="F49" s="23" t="s">
        <v>98</v>
      </c>
      <c r="G49" s="16" t="s">
        <v>114</v>
      </c>
      <c r="H49" s="18">
        <v>14</v>
      </c>
      <c r="I49" s="24">
        <v>0.08230324074074075</v>
      </c>
      <c r="J49" s="20">
        <v>0.015625</v>
      </c>
      <c r="K49" s="18"/>
      <c r="L49" s="24">
        <v>0.04096064814814815</v>
      </c>
      <c r="M49" s="20">
        <f>I49-J49-L49-N49</f>
        <v>0</v>
      </c>
      <c r="N49" s="24">
        <v>0.025717592592592594</v>
      </c>
      <c r="O49" s="16" t="s">
        <v>35</v>
      </c>
      <c r="P49" s="18"/>
      <c r="Q49" s="18"/>
    </row>
    <row r="50" spans="1:17" ht="12.75">
      <c r="A50">
        <f t="shared" si="1"/>
        <v>39</v>
      </c>
      <c r="B50" s="22">
        <v>33769</v>
      </c>
      <c r="C50" s="16" t="s">
        <v>24</v>
      </c>
      <c r="D50" s="18" t="s">
        <v>521</v>
      </c>
      <c r="E50" s="16" t="s">
        <v>469</v>
      </c>
      <c r="F50" s="23" t="s">
        <v>98</v>
      </c>
      <c r="G50" s="18" t="s">
        <v>116</v>
      </c>
      <c r="H50" s="18">
        <v>3</v>
      </c>
      <c r="I50" s="24">
        <v>0.08035879629629629</v>
      </c>
      <c r="J50" s="20">
        <v>0.014502314814814815</v>
      </c>
      <c r="K50" s="18"/>
      <c r="L50" s="24">
        <v>0.04025462962962963</v>
      </c>
      <c r="M50" s="40">
        <v>0.001099537037037037</v>
      </c>
      <c r="N50" s="24">
        <v>0.024502314814814814</v>
      </c>
      <c r="O50" s="18" t="s">
        <v>104</v>
      </c>
      <c r="P50" s="18"/>
      <c r="Q50" s="18"/>
    </row>
    <row r="51" spans="1:17" ht="12.75">
      <c r="A51">
        <f t="shared" si="1"/>
        <v>40</v>
      </c>
      <c r="B51" s="22">
        <v>33776</v>
      </c>
      <c r="C51" s="16" t="s">
        <v>36</v>
      </c>
      <c r="D51" s="18" t="s">
        <v>521</v>
      </c>
      <c r="E51" s="16" t="s">
        <v>469</v>
      </c>
      <c r="F51" s="23" t="s">
        <v>98</v>
      </c>
      <c r="G51" s="18" t="s">
        <v>117</v>
      </c>
      <c r="H51" s="18">
        <v>1</v>
      </c>
      <c r="I51" s="24">
        <v>0.08012731481481482</v>
      </c>
      <c r="J51" s="20">
        <v>0.015868055555555555</v>
      </c>
      <c r="K51" s="18" t="s">
        <v>110</v>
      </c>
      <c r="L51" s="24">
        <v>0.04163194444444445</v>
      </c>
      <c r="M51" s="20">
        <f>I51-J51-L51-N51</f>
        <v>0</v>
      </c>
      <c r="N51" s="24">
        <v>0.02262731481481482</v>
      </c>
      <c r="O51" s="18" t="s">
        <v>101</v>
      </c>
      <c r="P51" s="18"/>
      <c r="Q51" s="18"/>
    </row>
    <row r="52" spans="1:17" ht="12.75">
      <c r="A52">
        <f t="shared" si="1"/>
        <v>41</v>
      </c>
      <c r="B52" s="22">
        <v>33783</v>
      </c>
      <c r="C52" s="16" t="s">
        <v>90</v>
      </c>
      <c r="D52" s="18" t="s">
        <v>521</v>
      </c>
      <c r="E52" s="16" t="s">
        <v>469</v>
      </c>
      <c r="F52" s="23" t="s">
        <v>98</v>
      </c>
      <c r="G52" s="18" t="s">
        <v>114</v>
      </c>
      <c r="H52" s="18">
        <v>16</v>
      </c>
      <c r="I52" s="24">
        <v>0.08219907407407408</v>
      </c>
      <c r="J52" s="20">
        <v>0.015509259259259257</v>
      </c>
      <c r="K52" s="18"/>
      <c r="L52" s="24">
        <v>0.04012731481481482</v>
      </c>
      <c r="M52" s="20">
        <f>I52-J52-L52-N52</f>
        <v>0</v>
      </c>
      <c r="N52" s="24">
        <v>0.0265625</v>
      </c>
      <c r="O52" s="18" t="s">
        <v>35</v>
      </c>
      <c r="P52" s="18"/>
      <c r="Q52" s="18"/>
    </row>
    <row r="53" spans="1:17" ht="12.75">
      <c r="A53">
        <f t="shared" si="1"/>
        <v>42</v>
      </c>
      <c r="B53" s="22">
        <v>33789</v>
      </c>
      <c r="C53" s="16" t="s">
        <v>91</v>
      </c>
      <c r="D53" s="18" t="s">
        <v>521</v>
      </c>
      <c r="E53" s="16" t="s">
        <v>469</v>
      </c>
      <c r="F53" s="23" t="s">
        <v>175</v>
      </c>
      <c r="G53" s="18" t="s">
        <v>118</v>
      </c>
      <c r="H53" s="18">
        <v>3</v>
      </c>
      <c r="I53" s="24">
        <v>0.16858796296296297</v>
      </c>
      <c r="J53" s="20">
        <v>0.01965277777777778</v>
      </c>
      <c r="K53" s="18"/>
      <c r="L53" s="24">
        <v>0.08798611111111111</v>
      </c>
      <c r="M53" s="40">
        <v>0.0016550925925925926</v>
      </c>
      <c r="N53" s="24">
        <v>0.05929398148148148</v>
      </c>
      <c r="O53" s="18" t="s">
        <v>35</v>
      </c>
      <c r="P53" s="18"/>
      <c r="Q53" s="18"/>
    </row>
    <row r="54" spans="1:17" ht="12.75">
      <c r="A54">
        <f t="shared" si="1"/>
        <v>43</v>
      </c>
      <c r="B54" s="22">
        <v>33804</v>
      </c>
      <c r="C54" s="16" t="s">
        <v>92</v>
      </c>
      <c r="D54" s="18" t="s">
        <v>521</v>
      </c>
      <c r="E54" s="16" t="s">
        <v>469</v>
      </c>
      <c r="F54" s="23" t="s">
        <v>175</v>
      </c>
      <c r="G54" s="18" t="s">
        <v>119</v>
      </c>
      <c r="H54" s="18">
        <v>20</v>
      </c>
      <c r="I54" s="24">
        <v>0.1716087962962963</v>
      </c>
      <c r="J54" s="20">
        <v>0.0253125</v>
      </c>
      <c r="K54" s="18"/>
      <c r="L54" s="24">
        <v>0.09038194444444443</v>
      </c>
      <c r="M54" s="20">
        <f>I54-J54-L54-N54</f>
        <v>0</v>
      </c>
      <c r="N54" s="24">
        <v>0.05591435185185185</v>
      </c>
      <c r="O54" s="18" t="s">
        <v>35</v>
      </c>
      <c r="P54" s="18"/>
      <c r="Q54" s="18"/>
    </row>
    <row r="55" spans="1:17" ht="12.75">
      <c r="A55">
        <f t="shared" si="1"/>
        <v>44</v>
      </c>
      <c r="B55" s="22">
        <v>33818</v>
      </c>
      <c r="C55" s="16" t="s">
        <v>93</v>
      </c>
      <c r="D55" s="18" t="s">
        <v>521</v>
      </c>
      <c r="E55" s="16" t="s">
        <v>469</v>
      </c>
      <c r="F55" s="23" t="s">
        <v>98</v>
      </c>
      <c r="G55" s="18" t="s">
        <v>120</v>
      </c>
      <c r="H55" s="18">
        <v>9</v>
      </c>
      <c r="I55" s="24">
        <v>0.08627314814814814</v>
      </c>
      <c r="J55" s="20">
        <v>0.018148148148148146</v>
      </c>
      <c r="K55" s="18"/>
      <c r="L55" s="24">
        <v>0.04303240740740741</v>
      </c>
      <c r="M55" s="20">
        <f>I55-J55-L55-N55</f>
        <v>3.47222222222103E-05</v>
      </c>
      <c r="N55" s="24">
        <v>0.025057870370370373</v>
      </c>
      <c r="O55" s="18" t="s">
        <v>35</v>
      </c>
      <c r="P55" s="18"/>
      <c r="Q55" s="18"/>
    </row>
    <row r="56" spans="1:17" ht="12.75">
      <c r="A56">
        <f t="shared" si="1"/>
        <v>45</v>
      </c>
      <c r="B56" s="22">
        <v>33831</v>
      </c>
      <c r="C56" s="16" t="s">
        <v>38</v>
      </c>
      <c r="D56" s="18" t="s">
        <v>521</v>
      </c>
      <c r="E56" s="16" t="s">
        <v>469</v>
      </c>
      <c r="F56" s="23" t="s">
        <v>172</v>
      </c>
      <c r="G56" s="18" t="s">
        <v>67</v>
      </c>
      <c r="H56" s="18">
        <v>7</v>
      </c>
      <c r="I56" s="24">
        <v>0.07910879629629629</v>
      </c>
      <c r="J56" s="20">
        <v>0.009328703703703704</v>
      </c>
      <c r="K56" s="18"/>
      <c r="L56" s="24">
        <v>0.043090277777777776</v>
      </c>
      <c r="M56" s="20">
        <f>I56-J56-L56-N56</f>
        <v>0.0013888888888888874</v>
      </c>
      <c r="N56" s="24">
        <v>0.025300925925925925</v>
      </c>
      <c r="O56" s="18" t="s">
        <v>101</v>
      </c>
      <c r="P56" s="18"/>
      <c r="Q56" s="18"/>
    </row>
    <row r="57" spans="1:17" ht="12.75">
      <c r="A57">
        <f t="shared" si="1"/>
        <v>46</v>
      </c>
      <c r="B57" s="22">
        <v>33846</v>
      </c>
      <c r="C57" s="16" t="s">
        <v>21</v>
      </c>
      <c r="D57" s="18" t="s">
        <v>521</v>
      </c>
      <c r="E57" s="16" t="s">
        <v>469</v>
      </c>
      <c r="F57" s="23" t="s">
        <v>172</v>
      </c>
      <c r="G57" s="18" t="s">
        <v>109</v>
      </c>
      <c r="H57" s="18">
        <v>1</v>
      </c>
      <c r="I57" s="24">
        <v>0.08311342592592592</v>
      </c>
      <c r="J57" s="20">
        <v>0.014918981481481483</v>
      </c>
      <c r="K57" s="18"/>
      <c r="L57" s="24">
        <v>0.04304398148148148</v>
      </c>
      <c r="M57" s="40">
        <v>0.0009722222222222221</v>
      </c>
      <c r="N57" s="24">
        <v>0.02417824074074074</v>
      </c>
      <c r="O57" s="18" t="s">
        <v>100</v>
      </c>
      <c r="P57" s="18"/>
      <c r="Q57" s="18"/>
    </row>
    <row r="58" spans="1:17" ht="12.75">
      <c r="A58">
        <f t="shared" si="1"/>
        <v>47</v>
      </c>
      <c r="B58" s="22">
        <v>33860</v>
      </c>
      <c r="C58" s="16" t="s">
        <v>94</v>
      </c>
      <c r="D58" s="18" t="s">
        <v>521</v>
      </c>
      <c r="E58" s="16" t="s">
        <v>469</v>
      </c>
      <c r="F58" s="23" t="s">
        <v>98</v>
      </c>
      <c r="G58" s="18" t="s">
        <v>99</v>
      </c>
      <c r="H58" s="18">
        <v>3</v>
      </c>
      <c r="I58" s="24">
        <v>0.0834837962962963</v>
      </c>
      <c r="J58" s="20">
        <v>0.016307870370370372</v>
      </c>
      <c r="K58" s="18"/>
      <c r="L58" s="24">
        <v>0.04003472222222222</v>
      </c>
      <c r="M58" s="20">
        <f>I58-J58-L58-N58</f>
        <v>0.002199074074074079</v>
      </c>
      <c r="N58" s="24">
        <v>0.02494212962962963</v>
      </c>
      <c r="O58" s="18" t="s">
        <v>102</v>
      </c>
      <c r="P58" s="18"/>
      <c r="Q58" s="18" t="s">
        <v>155</v>
      </c>
    </row>
    <row r="59" spans="1:17" ht="12.75">
      <c r="A59">
        <f t="shared" si="1"/>
        <v>48</v>
      </c>
      <c r="B59" s="22">
        <v>33867</v>
      </c>
      <c r="C59" s="16" t="s">
        <v>95</v>
      </c>
      <c r="D59" s="18" t="s">
        <v>521</v>
      </c>
      <c r="E59" s="16" t="s">
        <v>469</v>
      </c>
      <c r="F59" s="23" t="s">
        <v>98</v>
      </c>
      <c r="G59" s="18" t="s">
        <v>99</v>
      </c>
      <c r="H59" s="18">
        <v>21</v>
      </c>
      <c r="I59" s="24">
        <v>0.07854166666666666</v>
      </c>
      <c r="J59" s="20"/>
      <c r="K59" s="18"/>
      <c r="L59" s="18"/>
      <c r="M59" s="18"/>
      <c r="N59" s="18"/>
      <c r="O59" s="18" t="s">
        <v>103</v>
      </c>
      <c r="P59" s="18" t="s">
        <v>582</v>
      </c>
      <c r="Q59" s="18" t="s">
        <v>33</v>
      </c>
    </row>
    <row r="60" spans="1:17" ht="12.75">
      <c r="A60">
        <f t="shared" si="1"/>
        <v>49</v>
      </c>
      <c r="B60" s="22">
        <v>33874</v>
      </c>
      <c r="C60" s="16" t="s">
        <v>34</v>
      </c>
      <c r="D60" s="18" t="s">
        <v>521</v>
      </c>
      <c r="E60" s="16" t="s">
        <v>448</v>
      </c>
      <c r="F60" s="16" t="s">
        <v>29</v>
      </c>
      <c r="G60" s="16" t="s">
        <v>69</v>
      </c>
      <c r="H60" s="18">
        <v>2</v>
      </c>
      <c r="I60" s="24">
        <v>0.05260416666666667</v>
      </c>
      <c r="J60" s="20">
        <v>0.015555555555555553</v>
      </c>
      <c r="K60" s="18"/>
      <c r="L60" s="24">
        <v>0.029930555555555557</v>
      </c>
      <c r="M60" s="20">
        <f>I60-J60-L60-N60</f>
        <v>0</v>
      </c>
      <c r="N60" s="20">
        <v>0.007118055555555555</v>
      </c>
      <c r="O60" s="18"/>
      <c r="P60" s="18"/>
      <c r="Q60" s="18"/>
    </row>
    <row r="61" spans="1:17" ht="12.75">
      <c r="A61">
        <f t="shared" si="1"/>
        <v>50</v>
      </c>
      <c r="B61" s="22">
        <v>33986</v>
      </c>
      <c r="C61" s="16" t="s">
        <v>28</v>
      </c>
      <c r="D61" s="18" t="s">
        <v>521</v>
      </c>
      <c r="E61" s="16" t="s">
        <v>448</v>
      </c>
      <c r="F61" s="16" t="s">
        <v>29</v>
      </c>
      <c r="G61" s="16" t="s">
        <v>74</v>
      </c>
      <c r="H61" s="18">
        <v>2</v>
      </c>
      <c r="I61" s="24">
        <v>0.05759259259259259</v>
      </c>
      <c r="J61" s="20"/>
      <c r="K61" s="18"/>
      <c r="L61" s="18"/>
      <c r="M61" s="18"/>
      <c r="N61" s="20"/>
      <c r="O61" s="16" t="s">
        <v>339</v>
      </c>
      <c r="P61" s="18"/>
      <c r="Q61" s="18"/>
    </row>
    <row r="62" spans="1:17" ht="12.75">
      <c r="A62">
        <f t="shared" si="1"/>
        <v>51</v>
      </c>
      <c r="B62" s="22">
        <v>34033</v>
      </c>
      <c r="C62" s="16" t="s">
        <v>152</v>
      </c>
      <c r="D62" s="18" t="s">
        <v>521</v>
      </c>
      <c r="E62" s="16" t="s">
        <v>469</v>
      </c>
      <c r="F62" s="23" t="s">
        <v>268</v>
      </c>
      <c r="G62" s="16" t="s">
        <v>153</v>
      </c>
      <c r="H62" s="18">
        <v>7</v>
      </c>
      <c r="I62" s="24">
        <v>0.01636574074074074</v>
      </c>
      <c r="J62" s="20">
        <v>0.0020833333333333333</v>
      </c>
      <c r="K62" s="18"/>
      <c r="L62" s="24">
        <v>0.008564814814814815</v>
      </c>
      <c r="M62" s="20">
        <f>I62-J62-L62-N62</f>
        <v>0</v>
      </c>
      <c r="N62" s="24">
        <v>0.005717592592592593</v>
      </c>
      <c r="O62" s="16" t="s">
        <v>154</v>
      </c>
      <c r="P62" s="18"/>
      <c r="Q62" s="18" t="s">
        <v>33</v>
      </c>
    </row>
    <row r="63" spans="1:17" ht="12.75">
      <c r="A63">
        <f t="shared" si="1"/>
        <v>52</v>
      </c>
      <c r="B63" s="22">
        <v>34042</v>
      </c>
      <c r="C63" s="16" t="s">
        <v>131</v>
      </c>
      <c r="D63" s="18" t="s">
        <v>521</v>
      </c>
      <c r="E63" s="16" t="s">
        <v>448</v>
      </c>
      <c r="F63" s="16" t="s">
        <v>29</v>
      </c>
      <c r="G63" s="16" t="s">
        <v>62</v>
      </c>
      <c r="H63" s="18">
        <v>21</v>
      </c>
      <c r="I63" s="24">
        <v>0.05841435185185185</v>
      </c>
      <c r="J63" s="20"/>
      <c r="K63" s="18"/>
      <c r="L63" s="18"/>
      <c r="M63" s="18"/>
      <c r="N63" s="20"/>
      <c r="O63" s="18"/>
      <c r="P63" s="18"/>
      <c r="Q63" s="18"/>
    </row>
    <row r="64" spans="1:17" ht="12.75">
      <c r="A64">
        <f t="shared" si="1"/>
        <v>53</v>
      </c>
      <c r="B64" s="22">
        <v>34071</v>
      </c>
      <c r="C64" s="16" t="s">
        <v>140</v>
      </c>
      <c r="D64" s="18" t="s">
        <v>521</v>
      </c>
      <c r="E64" s="16" t="s">
        <v>448</v>
      </c>
      <c r="F64" s="16" t="s">
        <v>141</v>
      </c>
      <c r="G64" s="16" t="s">
        <v>156</v>
      </c>
      <c r="H64" s="18">
        <v>42</v>
      </c>
      <c r="I64" s="24">
        <v>0.12291666666666667</v>
      </c>
      <c r="J64" s="20">
        <v>0.03353009259259259</v>
      </c>
      <c r="K64" s="18"/>
      <c r="L64" s="24">
        <v>0.06891203703703704</v>
      </c>
      <c r="M64" s="20">
        <f>I64-J64-L64-N64</f>
        <v>0</v>
      </c>
      <c r="N64" s="20">
        <v>0.020474537037037038</v>
      </c>
      <c r="O64" s="18" t="s">
        <v>33</v>
      </c>
      <c r="P64" s="18"/>
      <c r="Q64" s="18" t="s">
        <v>33</v>
      </c>
    </row>
    <row r="65" spans="1:17" ht="12.75">
      <c r="A65">
        <f t="shared" si="1"/>
        <v>54</v>
      </c>
      <c r="B65" s="22">
        <v>34084</v>
      </c>
      <c r="C65" s="16" t="s">
        <v>25</v>
      </c>
      <c r="D65" s="18" t="s">
        <v>521</v>
      </c>
      <c r="E65" s="16" t="s">
        <v>448</v>
      </c>
      <c r="F65" s="16" t="s">
        <v>29</v>
      </c>
      <c r="G65" s="16" t="s">
        <v>139</v>
      </c>
      <c r="H65" s="18">
        <v>14</v>
      </c>
      <c r="I65" s="24">
        <v>0.06417824074074074</v>
      </c>
      <c r="J65" s="20">
        <v>0.021377314814814818</v>
      </c>
      <c r="K65" s="18"/>
      <c r="L65" s="24">
        <v>0.030763888888888886</v>
      </c>
      <c r="M65" s="20">
        <f>I65-J65-L65-N65</f>
        <v>0</v>
      </c>
      <c r="N65" s="20">
        <v>0.012037037037037035</v>
      </c>
      <c r="O65" s="18"/>
      <c r="P65" s="18"/>
      <c r="Q65" s="18"/>
    </row>
    <row r="66" spans="1:17" ht="12.75">
      <c r="A66">
        <f t="shared" si="1"/>
        <v>55</v>
      </c>
      <c r="B66" s="22">
        <v>34089</v>
      </c>
      <c r="C66" s="16" t="s">
        <v>135</v>
      </c>
      <c r="D66" s="18" t="s">
        <v>521</v>
      </c>
      <c r="E66" s="16" t="s">
        <v>469</v>
      </c>
      <c r="F66" s="23" t="s">
        <v>172</v>
      </c>
      <c r="G66" s="16" t="s">
        <v>157</v>
      </c>
      <c r="H66" s="18">
        <v>1</v>
      </c>
      <c r="I66" s="24">
        <v>0.08047453703703704</v>
      </c>
      <c r="J66" s="20">
        <v>0.008796296296296297</v>
      </c>
      <c r="K66" s="18"/>
      <c r="L66" s="24">
        <v>0.044849537037037035</v>
      </c>
      <c r="M66" s="20">
        <f>I66-J66-L66-N66</f>
        <v>0</v>
      </c>
      <c r="N66" s="24">
        <v>0.026828703703703702</v>
      </c>
      <c r="O66" s="18"/>
      <c r="P66" s="18"/>
      <c r="Q66" s="18"/>
    </row>
    <row r="67" spans="1:17" ht="12.75">
      <c r="A67">
        <f t="shared" si="1"/>
        <v>56</v>
      </c>
      <c r="B67" s="22">
        <v>34097</v>
      </c>
      <c r="C67" s="16" t="s">
        <v>143</v>
      </c>
      <c r="D67" s="18" t="s">
        <v>521</v>
      </c>
      <c r="E67" s="16" t="s">
        <v>469</v>
      </c>
      <c r="F67" s="23" t="s">
        <v>98</v>
      </c>
      <c r="G67" s="16" t="s">
        <v>158</v>
      </c>
      <c r="H67" s="18">
        <v>2</v>
      </c>
      <c r="I67" s="24">
        <v>0.07836805555555555</v>
      </c>
      <c r="J67" s="20">
        <f>I67-L67-N67</f>
        <v>0.014687500000000003</v>
      </c>
      <c r="K67" s="18"/>
      <c r="L67" s="24">
        <v>0.04038194444444444</v>
      </c>
      <c r="M67" s="20">
        <f aca="true" t="shared" si="2" ref="M67:M78">I67-J67-L67-N67</f>
        <v>0</v>
      </c>
      <c r="N67" s="24">
        <v>0.023298611111111107</v>
      </c>
      <c r="O67" s="18" t="s">
        <v>101</v>
      </c>
      <c r="P67" s="18"/>
      <c r="Q67" s="18"/>
    </row>
    <row r="68" spans="1:17" ht="12.75">
      <c r="A68">
        <f t="shared" si="1"/>
        <v>57</v>
      </c>
      <c r="B68" s="22">
        <v>34104</v>
      </c>
      <c r="C68" s="18" t="s">
        <v>142</v>
      </c>
      <c r="D68" s="18" t="s">
        <v>521</v>
      </c>
      <c r="E68" s="18" t="s">
        <v>469</v>
      </c>
      <c r="F68" s="23" t="s">
        <v>175</v>
      </c>
      <c r="G68" s="18" t="s">
        <v>159</v>
      </c>
      <c r="H68" s="18">
        <v>2</v>
      </c>
      <c r="I68" s="24">
        <v>0.1602199074074074</v>
      </c>
      <c r="J68" s="20">
        <v>0.02342592592592593</v>
      </c>
      <c r="K68" s="18"/>
      <c r="L68" s="24">
        <v>0.08064814814814815</v>
      </c>
      <c r="M68" s="20">
        <f t="shared" si="2"/>
        <v>0</v>
      </c>
      <c r="N68" s="24">
        <v>0.05614583333333334</v>
      </c>
      <c r="O68" s="18" t="s">
        <v>35</v>
      </c>
      <c r="P68" s="18"/>
      <c r="Q68" s="18"/>
    </row>
    <row r="69" spans="1:17" ht="12.75">
      <c r="A69">
        <f t="shared" si="1"/>
        <v>58</v>
      </c>
      <c r="B69" s="22">
        <v>34175</v>
      </c>
      <c r="C69" s="18" t="s">
        <v>38</v>
      </c>
      <c r="D69" s="18" t="s">
        <v>521</v>
      </c>
      <c r="E69" s="18" t="s">
        <v>469</v>
      </c>
      <c r="F69" s="23" t="s">
        <v>172</v>
      </c>
      <c r="G69" s="18" t="s">
        <v>84</v>
      </c>
      <c r="H69" s="18">
        <v>116</v>
      </c>
      <c r="I69" s="24">
        <v>0.09376157407407408</v>
      </c>
      <c r="J69" s="20">
        <v>0.009236111111111112</v>
      </c>
      <c r="K69" s="18"/>
      <c r="L69" s="24">
        <v>0.044826388888888895</v>
      </c>
      <c r="M69" s="20">
        <f t="shared" si="2"/>
        <v>0.0009027777777777801</v>
      </c>
      <c r="N69" s="24">
        <v>0.038796296296296294</v>
      </c>
      <c r="O69" s="18" t="s">
        <v>101</v>
      </c>
      <c r="P69" s="18"/>
      <c r="Q69" s="18"/>
    </row>
    <row r="70" spans="1:17" ht="12.75">
      <c r="A70">
        <f t="shared" si="1"/>
        <v>59</v>
      </c>
      <c r="B70" s="22">
        <v>34182</v>
      </c>
      <c r="C70" s="18" t="s">
        <v>144</v>
      </c>
      <c r="D70" s="18" t="s">
        <v>521</v>
      </c>
      <c r="E70" s="18" t="s">
        <v>469</v>
      </c>
      <c r="F70" s="23" t="s">
        <v>172</v>
      </c>
      <c r="G70" s="18" t="s">
        <v>160</v>
      </c>
      <c r="H70" s="18">
        <v>22</v>
      </c>
      <c r="I70" s="24">
        <v>0.08125</v>
      </c>
      <c r="J70" s="20">
        <v>0.012453703703703703</v>
      </c>
      <c r="K70" s="18"/>
      <c r="L70" s="24">
        <v>0.03877314814814815</v>
      </c>
      <c r="M70" s="20">
        <f t="shared" si="2"/>
        <v>0.0005092592592592614</v>
      </c>
      <c r="N70" s="24">
        <v>0.02951388888888889</v>
      </c>
      <c r="O70" s="18" t="s">
        <v>35</v>
      </c>
      <c r="P70" s="18"/>
      <c r="Q70" s="18"/>
    </row>
    <row r="71" spans="1:17" ht="12.75">
      <c r="A71">
        <f t="shared" si="1"/>
        <v>60</v>
      </c>
      <c r="B71" s="22">
        <v>34189</v>
      </c>
      <c r="C71" s="18" t="s">
        <v>93</v>
      </c>
      <c r="D71" s="18" t="s">
        <v>521</v>
      </c>
      <c r="E71" s="18" t="s">
        <v>469</v>
      </c>
      <c r="F71" s="23" t="s">
        <v>98</v>
      </c>
      <c r="G71" s="18" t="s">
        <v>161</v>
      </c>
      <c r="H71" s="18">
        <v>7</v>
      </c>
      <c r="I71" s="24">
        <v>0.08377314814814814</v>
      </c>
      <c r="J71" s="20">
        <v>0.015625</v>
      </c>
      <c r="K71" s="18"/>
      <c r="L71" s="24">
        <v>0.04131944444444444</v>
      </c>
      <c r="M71" s="20">
        <f t="shared" si="2"/>
        <v>0.0004398148148148061</v>
      </c>
      <c r="N71" s="24">
        <v>0.02638888888888889</v>
      </c>
      <c r="O71" s="18" t="s">
        <v>35</v>
      </c>
      <c r="P71" s="18"/>
      <c r="Q71" s="18"/>
    </row>
    <row r="72" spans="1:17" ht="12.75">
      <c r="A72">
        <f t="shared" si="1"/>
        <v>61</v>
      </c>
      <c r="B72" s="22">
        <v>34196</v>
      </c>
      <c r="C72" s="18" t="s">
        <v>136</v>
      </c>
      <c r="D72" s="18" t="s">
        <v>521</v>
      </c>
      <c r="E72" s="18" t="s">
        <v>469</v>
      </c>
      <c r="F72" s="23" t="s">
        <v>98</v>
      </c>
      <c r="G72" s="16" t="s">
        <v>99</v>
      </c>
      <c r="H72" s="18">
        <v>19</v>
      </c>
      <c r="I72" s="24">
        <v>0.08293981481481481</v>
      </c>
      <c r="J72" s="20">
        <v>0.013449074074074073</v>
      </c>
      <c r="K72" s="18"/>
      <c r="L72" s="24">
        <v>0.03991898148148148</v>
      </c>
      <c r="M72" s="20">
        <f t="shared" si="2"/>
        <v>0.0016782407407407475</v>
      </c>
      <c r="N72" s="24">
        <v>0.027893518518518515</v>
      </c>
      <c r="O72" s="18" t="s">
        <v>35</v>
      </c>
      <c r="P72" s="18"/>
      <c r="Q72" s="18"/>
    </row>
    <row r="73" spans="1:17" ht="12.75">
      <c r="A73">
        <f t="shared" si="1"/>
        <v>62</v>
      </c>
      <c r="B73" s="22">
        <v>34202</v>
      </c>
      <c r="C73" s="16" t="s">
        <v>133</v>
      </c>
      <c r="D73" s="18" t="s">
        <v>521</v>
      </c>
      <c r="E73" s="16" t="s">
        <v>448</v>
      </c>
      <c r="F73" s="16" t="s">
        <v>29</v>
      </c>
      <c r="G73" s="16" t="s">
        <v>62</v>
      </c>
      <c r="H73" s="18">
        <v>4</v>
      </c>
      <c r="I73" s="24">
        <v>0.058541666666666665</v>
      </c>
      <c r="J73" s="20">
        <v>0.018368055555555554</v>
      </c>
      <c r="K73" s="18"/>
      <c r="L73" s="24">
        <v>0.0309375</v>
      </c>
      <c r="M73" s="20">
        <f t="shared" si="2"/>
        <v>0</v>
      </c>
      <c r="N73" s="20">
        <v>0.009236111111111112</v>
      </c>
      <c r="O73" s="18"/>
      <c r="P73" s="18"/>
      <c r="Q73" s="18"/>
    </row>
    <row r="74" spans="1:17" ht="12.75">
      <c r="A74">
        <f t="shared" si="1"/>
        <v>63</v>
      </c>
      <c r="B74" s="22">
        <v>34209</v>
      </c>
      <c r="C74" s="18" t="s">
        <v>134</v>
      </c>
      <c r="D74" s="18" t="s">
        <v>521</v>
      </c>
      <c r="E74" s="18" t="s">
        <v>469</v>
      </c>
      <c r="F74" s="23" t="s">
        <v>98</v>
      </c>
      <c r="G74" s="18" t="s">
        <v>99</v>
      </c>
      <c r="H74" s="18">
        <v>19</v>
      </c>
      <c r="I74" s="24">
        <v>0.07793981481481481</v>
      </c>
      <c r="J74" s="20">
        <v>0.01283564814814815</v>
      </c>
      <c r="K74" s="18"/>
      <c r="L74" s="24">
        <v>0.040219907407407406</v>
      </c>
      <c r="M74" s="20">
        <f t="shared" si="2"/>
        <v>0</v>
      </c>
      <c r="N74" s="24">
        <v>0.02488425925925926</v>
      </c>
      <c r="O74" s="18" t="s">
        <v>33</v>
      </c>
      <c r="P74" s="18"/>
      <c r="Q74" s="18" t="s">
        <v>33</v>
      </c>
    </row>
    <row r="75" spans="1:17" ht="12.75">
      <c r="A75">
        <f t="shared" si="1"/>
        <v>64</v>
      </c>
      <c r="B75" s="22">
        <v>34224</v>
      </c>
      <c r="C75" s="18" t="s">
        <v>130</v>
      </c>
      <c r="D75" s="18" t="s">
        <v>521</v>
      </c>
      <c r="E75" s="18" t="s">
        <v>469</v>
      </c>
      <c r="F75" s="23" t="s">
        <v>172</v>
      </c>
      <c r="G75" s="18" t="s">
        <v>162</v>
      </c>
      <c r="H75" s="18">
        <v>1</v>
      </c>
      <c r="I75" s="24">
        <v>0.07528935185185186</v>
      </c>
      <c r="J75" s="20">
        <v>0.007245370370370371</v>
      </c>
      <c r="K75" s="18"/>
      <c r="L75" s="24">
        <v>0.04148148148148148</v>
      </c>
      <c r="M75" s="20">
        <f t="shared" si="2"/>
        <v>0</v>
      </c>
      <c r="N75" s="24">
        <v>0.0265625</v>
      </c>
      <c r="O75" s="18"/>
      <c r="P75" s="18"/>
      <c r="Q75" s="18"/>
    </row>
    <row r="76" spans="1:17" ht="12.75">
      <c r="A76">
        <f aca="true" t="shared" si="3" ref="A76:A139">IF(B76=0,"",ROW(A65))</f>
        <v>65</v>
      </c>
      <c r="B76" s="22">
        <v>34231</v>
      </c>
      <c r="C76" s="18" t="s">
        <v>131</v>
      </c>
      <c r="D76" s="18" t="s">
        <v>521</v>
      </c>
      <c r="E76" s="18" t="s">
        <v>469</v>
      </c>
      <c r="F76" s="23" t="s">
        <v>98</v>
      </c>
      <c r="G76" s="18" t="s">
        <v>163</v>
      </c>
      <c r="H76" s="18">
        <v>4</v>
      </c>
      <c r="I76" s="24">
        <v>0.0822800925925926</v>
      </c>
      <c r="J76" s="20">
        <v>0.016666666666666666</v>
      </c>
      <c r="K76" s="18"/>
      <c r="L76" s="24">
        <v>0.03958333333333333</v>
      </c>
      <c r="M76" s="20">
        <f t="shared" si="2"/>
        <v>0.0010300925925926033</v>
      </c>
      <c r="N76" s="24">
        <v>0.025</v>
      </c>
      <c r="O76" s="18"/>
      <c r="P76" s="18"/>
      <c r="Q76" s="18"/>
    </row>
    <row r="77" spans="1:17" ht="12.75">
      <c r="A77">
        <f t="shared" si="3"/>
        <v>66</v>
      </c>
      <c r="B77" s="22">
        <v>34258</v>
      </c>
      <c r="C77" s="16" t="s">
        <v>150</v>
      </c>
      <c r="D77" s="18" t="s">
        <v>521</v>
      </c>
      <c r="E77" s="18" t="s">
        <v>448</v>
      </c>
      <c r="F77" s="16" t="s">
        <v>29</v>
      </c>
      <c r="G77" s="18" t="s">
        <v>164</v>
      </c>
      <c r="H77" s="18">
        <v>1</v>
      </c>
      <c r="I77" s="24">
        <v>0.05599537037037037</v>
      </c>
      <c r="J77" s="20">
        <v>0.015277777777777777</v>
      </c>
      <c r="K77" s="18"/>
      <c r="L77" s="24">
        <v>0.032719907407407406</v>
      </c>
      <c r="M77" s="20">
        <f t="shared" si="2"/>
        <v>0.00105324074074074</v>
      </c>
      <c r="N77" s="20">
        <v>0.006944444444444444</v>
      </c>
      <c r="O77" s="18"/>
      <c r="P77" s="18"/>
      <c r="Q77" s="18"/>
    </row>
    <row r="78" spans="1:17" ht="12.75">
      <c r="A78">
        <f t="shared" si="3"/>
        <v>67</v>
      </c>
      <c r="B78" s="22">
        <v>34263</v>
      </c>
      <c r="C78" s="18" t="s">
        <v>145</v>
      </c>
      <c r="D78" s="18" t="s">
        <v>146</v>
      </c>
      <c r="E78" s="18" t="s">
        <v>469</v>
      </c>
      <c r="F78" s="23" t="s">
        <v>98</v>
      </c>
      <c r="G78" s="18" t="s">
        <v>99</v>
      </c>
      <c r="H78" s="18">
        <v>21</v>
      </c>
      <c r="I78" s="24">
        <v>0.0806712962962963</v>
      </c>
      <c r="J78" s="20">
        <v>0.013981481481481482</v>
      </c>
      <c r="K78" s="18"/>
      <c r="L78" s="24">
        <v>0.04005787037037037</v>
      </c>
      <c r="M78" s="20">
        <f t="shared" si="2"/>
        <v>0</v>
      </c>
      <c r="N78" s="24">
        <v>0.026631944444444444</v>
      </c>
      <c r="O78" s="18"/>
      <c r="P78" s="18"/>
      <c r="Q78" s="18"/>
    </row>
    <row r="79" spans="1:17" ht="12.75">
      <c r="A79">
        <f t="shared" si="3"/>
        <v>68</v>
      </c>
      <c r="B79" s="22">
        <v>34406</v>
      </c>
      <c r="C79" s="16" t="s">
        <v>131</v>
      </c>
      <c r="D79" s="18" t="s">
        <v>521</v>
      </c>
      <c r="E79" s="18" t="s">
        <v>448</v>
      </c>
      <c r="F79" s="16" t="s">
        <v>29</v>
      </c>
      <c r="G79" s="16" t="s">
        <v>62</v>
      </c>
      <c r="H79" s="18">
        <v>13</v>
      </c>
      <c r="I79" s="24">
        <v>0.06417824074074074</v>
      </c>
      <c r="J79" s="20"/>
      <c r="K79" s="18"/>
      <c r="L79" s="24">
        <v>0.03756944444444445</v>
      </c>
      <c r="M79" s="18"/>
      <c r="N79" s="20"/>
      <c r="O79" s="18"/>
      <c r="P79" s="18"/>
      <c r="Q79" s="18"/>
    </row>
    <row r="80" spans="1:17" ht="12.75">
      <c r="A80">
        <f t="shared" si="3"/>
        <v>69</v>
      </c>
      <c r="B80" s="22">
        <v>34419</v>
      </c>
      <c r="C80" s="16" t="s">
        <v>166</v>
      </c>
      <c r="D80" s="18" t="s">
        <v>521</v>
      </c>
      <c r="E80" s="18" t="s">
        <v>448</v>
      </c>
      <c r="F80" s="16" t="s">
        <v>141</v>
      </c>
      <c r="G80" s="18" t="s">
        <v>167</v>
      </c>
      <c r="H80" s="18">
        <v>11</v>
      </c>
      <c r="I80" s="24">
        <v>0.12796296296296297</v>
      </c>
      <c r="J80" s="20">
        <v>0.035416666666666666</v>
      </c>
      <c r="K80" s="18"/>
      <c r="L80" s="24">
        <v>0.0706712962962963</v>
      </c>
      <c r="M80" s="20">
        <f>I80-J80-L80-N80</f>
        <v>0.0017361111111111154</v>
      </c>
      <c r="N80" s="20">
        <v>0.02013888888888889</v>
      </c>
      <c r="O80" s="18"/>
      <c r="P80" s="18"/>
      <c r="Q80" s="18"/>
    </row>
    <row r="81" spans="1:17" ht="12.75">
      <c r="A81">
        <f t="shared" si="3"/>
        <v>70</v>
      </c>
      <c r="B81" s="22">
        <v>34426</v>
      </c>
      <c r="C81" s="16" t="s">
        <v>168</v>
      </c>
      <c r="D81" s="18" t="s">
        <v>521</v>
      </c>
      <c r="E81" s="18" t="s">
        <v>448</v>
      </c>
      <c r="F81" s="16" t="s">
        <v>29</v>
      </c>
      <c r="G81" s="18" t="s">
        <v>62</v>
      </c>
      <c r="H81" s="18">
        <v>8</v>
      </c>
      <c r="I81" s="24">
        <v>0.0565625</v>
      </c>
      <c r="J81" s="20"/>
      <c r="K81" s="18"/>
      <c r="L81" s="24">
        <v>0.031203703703703702</v>
      </c>
      <c r="M81" s="18"/>
      <c r="N81" s="20"/>
      <c r="O81" s="18"/>
      <c r="P81" s="18"/>
      <c r="Q81" s="18"/>
    </row>
    <row r="82" spans="1:17" ht="12.75">
      <c r="A82">
        <f t="shared" si="3"/>
        <v>71</v>
      </c>
      <c r="B82" s="22">
        <v>34441</v>
      </c>
      <c r="C82" s="16" t="s">
        <v>25</v>
      </c>
      <c r="D82" s="18" t="s">
        <v>521</v>
      </c>
      <c r="E82" s="18" t="s">
        <v>448</v>
      </c>
      <c r="F82" s="16" t="s">
        <v>29</v>
      </c>
      <c r="G82" s="18" t="s">
        <v>169</v>
      </c>
      <c r="H82" s="18">
        <v>6</v>
      </c>
      <c r="I82" s="24">
        <v>0.05986111111111111</v>
      </c>
      <c r="J82" s="20">
        <v>0.024837962962962964</v>
      </c>
      <c r="K82" s="18"/>
      <c r="L82" s="24">
        <v>0.03228009259259259</v>
      </c>
      <c r="M82" s="20"/>
      <c r="N82" s="20">
        <v>0.0096875</v>
      </c>
      <c r="O82" s="18"/>
      <c r="P82" s="18"/>
      <c r="Q82" s="18"/>
    </row>
    <row r="83" spans="1:17" ht="12.75">
      <c r="A83">
        <f t="shared" si="3"/>
        <v>72</v>
      </c>
      <c r="B83" s="22">
        <v>34448</v>
      </c>
      <c r="C83" s="16" t="s">
        <v>140</v>
      </c>
      <c r="D83" s="18" t="s">
        <v>521</v>
      </c>
      <c r="E83" s="18" t="s">
        <v>448</v>
      </c>
      <c r="F83" s="16" t="s">
        <v>141</v>
      </c>
      <c r="G83" s="18" t="s">
        <v>170</v>
      </c>
      <c r="H83" s="18">
        <v>25</v>
      </c>
      <c r="I83" s="24">
        <v>0.11752314814814814</v>
      </c>
      <c r="J83" s="20">
        <v>0.0344212962962963</v>
      </c>
      <c r="K83" s="18"/>
      <c r="L83" s="24">
        <v>0.0661574074074074</v>
      </c>
      <c r="M83" s="20">
        <f aca="true" t="shared" si="4" ref="M83:M99">I83-J83-L83-N83</f>
        <v>0</v>
      </c>
      <c r="N83" s="20">
        <v>0.016944444444444443</v>
      </c>
      <c r="O83" s="18" t="s">
        <v>33</v>
      </c>
      <c r="P83" s="18"/>
      <c r="Q83" s="18" t="s">
        <v>33</v>
      </c>
    </row>
    <row r="84" spans="1:17" ht="12.75">
      <c r="A84">
        <f t="shared" si="3"/>
        <v>73</v>
      </c>
      <c r="B84" s="22">
        <v>34454</v>
      </c>
      <c r="C84" s="16" t="s">
        <v>135</v>
      </c>
      <c r="D84" s="18" t="s">
        <v>521</v>
      </c>
      <c r="E84" s="18" t="s">
        <v>469</v>
      </c>
      <c r="F84" s="23" t="s">
        <v>172</v>
      </c>
      <c r="G84" s="16" t="s">
        <v>173</v>
      </c>
      <c r="H84" s="18">
        <v>2</v>
      </c>
      <c r="I84" s="24">
        <v>0.07938657407407408</v>
      </c>
      <c r="J84" s="20">
        <v>0.008773148148148148</v>
      </c>
      <c r="K84" s="18"/>
      <c r="L84" s="24">
        <v>0.04488425925925926</v>
      </c>
      <c r="M84" s="20">
        <f t="shared" si="4"/>
        <v>0.0005208333333333315</v>
      </c>
      <c r="N84" s="24">
        <v>0.025208333333333333</v>
      </c>
      <c r="O84" s="18"/>
      <c r="P84" s="18"/>
      <c r="Q84" s="18"/>
    </row>
    <row r="85" spans="1:17" ht="12.75">
      <c r="A85">
        <f t="shared" si="3"/>
        <v>74</v>
      </c>
      <c r="B85" s="22">
        <v>34462</v>
      </c>
      <c r="C85" s="16" t="s">
        <v>174</v>
      </c>
      <c r="D85" s="18" t="s">
        <v>521</v>
      </c>
      <c r="E85" s="18" t="s">
        <v>469</v>
      </c>
      <c r="F85" s="23" t="s">
        <v>175</v>
      </c>
      <c r="G85" s="16" t="s">
        <v>176</v>
      </c>
      <c r="H85" s="18">
        <v>3</v>
      </c>
      <c r="I85" s="24">
        <v>0.15511574074074075</v>
      </c>
      <c r="J85" s="20">
        <v>0.02395833333333333</v>
      </c>
      <c r="K85" s="18"/>
      <c r="L85" s="24">
        <v>0.0870949074074074</v>
      </c>
      <c r="M85" s="20">
        <f t="shared" si="4"/>
        <v>0.0019560185185185305</v>
      </c>
      <c r="N85" s="24">
        <v>0.04210648148148149</v>
      </c>
      <c r="O85" s="18" t="s">
        <v>35</v>
      </c>
      <c r="P85" s="18"/>
      <c r="Q85" s="18"/>
    </row>
    <row r="86" spans="1:17" ht="12.75">
      <c r="A86">
        <f t="shared" si="3"/>
        <v>75</v>
      </c>
      <c r="B86" s="22">
        <v>34483</v>
      </c>
      <c r="C86" s="16" t="s">
        <v>89</v>
      </c>
      <c r="D86" s="18" t="s">
        <v>521</v>
      </c>
      <c r="E86" s="18" t="s">
        <v>469</v>
      </c>
      <c r="F86" s="23" t="s">
        <v>98</v>
      </c>
      <c r="G86" s="16" t="s">
        <v>99</v>
      </c>
      <c r="H86" s="18">
        <v>16</v>
      </c>
      <c r="I86" s="24">
        <v>0.07872685185185185</v>
      </c>
      <c r="J86" s="20">
        <v>0.014178240740740741</v>
      </c>
      <c r="K86" s="18"/>
      <c r="L86" s="24">
        <v>0.04017361111111111</v>
      </c>
      <c r="M86" s="20">
        <f t="shared" si="4"/>
        <v>0.0007523148148148133</v>
      </c>
      <c r="N86" s="24">
        <v>0.023622685185185188</v>
      </c>
      <c r="O86" s="18" t="s">
        <v>180</v>
      </c>
      <c r="P86" s="18"/>
      <c r="Q86" s="18"/>
    </row>
    <row r="87" spans="1:17" ht="12.75">
      <c r="A87">
        <f t="shared" si="3"/>
        <v>76</v>
      </c>
      <c r="B87" s="22">
        <v>34489</v>
      </c>
      <c r="C87" s="16" t="s">
        <v>181</v>
      </c>
      <c r="D87" s="18" t="s">
        <v>521</v>
      </c>
      <c r="E87" s="18" t="s">
        <v>469</v>
      </c>
      <c r="F87" s="23" t="s">
        <v>98</v>
      </c>
      <c r="G87" s="16" t="s">
        <v>182</v>
      </c>
      <c r="H87" s="18">
        <v>8</v>
      </c>
      <c r="I87" s="24">
        <v>0.07502314814814814</v>
      </c>
      <c r="J87" s="20"/>
      <c r="K87" s="18"/>
      <c r="L87" s="24">
        <v>0.040150462962962964</v>
      </c>
      <c r="M87" s="20">
        <f t="shared" si="4"/>
        <v>0.013923611111111105</v>
      </c>
      <c r="N87" s="24">
        <v>0.020949074074074075</v>
      </c>
      <c r="O87" s="18" t="s">
        <v>196</v>
      </c>
      <c r="P87" s="18"/>
      <c r="Q87" s="18" t="s">
        <v>33</v>
      </c>
    </row>
    <row r="88" spans="1:17" ht="12.75">
      <c r="A88">
        <f t="shared" si="3"/>
        <v>77</v>
      </c>
      <c r="B88" s="22">
        <v>34490</v>
      </c>
      <c r="C88" s="16" t="s">
        <v>65</v>
      </c>
      <c r="D88" s="18" t="s">
        <v>521</v>
      </c>
      <c r="E88" s="18" t="s">
        <v>469</v>
      </c>
      <c r="F88" s="23" t="s">
        <v>172</v>
      </c>
      <c r="G88" s="16" t="s">
        <v>63</v>
      </c>
      <c r="H88" s="18">
        <v>1</v>
      </c>
      <c r="I88" s="24">
        <v>0.07467592592592592</v>
      </c>
      <c r="J88" s="20">
        <v>0.008796296296296297</v>
      </c>
      <c r="K88" s="18"/>
      <c r="L88" s="24">
        <v>0.04079861111111111</v>
      </c>
      <c r="M88" s="20">
        <f t="shared" si="4"/>
        <v>0.001111111111111101</v>
      </c>
      <c r="N88" s="24">
        <v>0.02396990740740741</v>
      </c>
      <c r="O88" s="18"/>
      <c r="P88" s="18"/>
      <c r="Q88" s="18"/>
    </row>
    <row r="89" spans="1:17" ht="12.75">
      <c r="A89">
        <f t="shared" si="3"/>
        <v>78</v>
      </c>
      <c r="B89" s="22">
        <v>34497</v>
      </c>
      <c r="C89" s="16" t="s">
        <v>183</v>
      </c>
      <c r="D89" s="18" t="s">
        <v>148</v>
      </c>
      <c r="E89" s="18" t="s">
        <v>469</v>
      </c>
      <c r="F89" s="23" t="s">
        <v>98</v>
      </c>
      <c r="G89" s="16" t="s">
        <v>184</v>
      </c>
      <c r="H89" s="18">
        <v>14</v>
      </c>
      <c r="I89" s="24">
        <v>0.06525462962962963</v>
      </c>
      <c r="J89" s="20">
        <v>0.013518518518518518</v>
      </c>
      <c r="K89" s="18"/>
      <c r="L89" s="24">
        <v>0.029236111111111112</v>
      </c>
      <c r="M89" s="20">
        <f t="shared" si="4"/>
        <v>0.001226851851851854</v>
      </c>
      <c r="N89" s="24">
        <v>0.02127314814814815</v>
      </c>
      <c r="O89" s="18" t="s">
        <v>194</v>
      </c>
      <c r="P89" s="18"/>
      <c r="Q89" s="18"/>
    </row>
    <row r="90" spans="1:17" ht="12.75">
      <c r="A90">
        <f t="shared" si="3"/>
        <v>79</v>
      </c>
      <c r="B90" s="22">
        <v>34503</v>
      </c>
      <c r="C90" s="16" t="s">
        <v>185</v>
      </c>
      <c r="D90" s="18" t="s">
        <v>148</v>
      </c>
      <c r="E90" s="18" t="s">
        <v>469</v>
      </c>
      <c r="F90" s="23" t="s">
        <v>98</v>
      </c>
      <c r="G90" s="16" t="s">
        <v>186</v>
      </c>
      <c r="H90" s="18">
        <v>9</v>
      </c>
      <c r="I90" s="24">
        <v>0.07412037037037038</v>
      </c>
      <c r="J90" s="20">
        <v>0.013981481481481482</v>
      </c>
      <c r="K90" s="18"/>
      <c r="L90" s="24">
        <v>0.03479166666666667</v>
      </c>
      <c r="M90" s="20">
        <f t="shared" si="4"/>
        <v>0.001319444444444446</v>
      </c>
      <c r="N90" s="24">
        <v>0.024027777777777776</v>
      </c>
      <c r="O90" s="18" t="s">
        <v>194</v>
      </c>
      <c r="P90" s="18"/>
      <c r="Q90" s="18"/>
    </row>
    <row r="91" spans="1:17" ht="12.75">
      <c r="A91">
        <f t="shared" si="3"/>
        <v>80</v>
      </c>
      <c r="B91" s="22">
        <v>34511</v>
      </c>
      <c r="C91" s="16" t="s">
        <v>188</v>
      </c>
      <c r="D91" s="18" t="s">
        <v>316</v>
      </c>
      <c r="E91" s="18" t="s">
        <v>469</v>
      </c>
      <c r="F91" s="23" t="s">
        <v>189</v>
      </c>
      <c r="G91" s="16" t="s">
        <v>191</v>
      </c>
      <c r="H91" s="18">
        <v>36</v>
      </c>
      <c r="I91" s="24">
        <v>0.2772800925925926</v>
      </c>
      <c r="J91" s="20">
        <v>0.04172453703703704</v>
      </c>
      <c r="K91" s="18"/>
      <c r="L91" s="24">
        <v>0.15072916666666666</v>
      </c>
      <c r="M91" s="20">
        <f t="shared" si="4"/>
        <v>0.0016087962962963165</v>
      </c>
      <c r="N91" s="24">
        <v>0.08321759259259259</v>
      </c>
      <c r="O91" s="48" t="s">
        <v>515</v>
      </c>
      <c r="P91" s="18"/>
      <c r="Q91" s="18" t="s">
        <v>190</v>
      </c>
    </row>
    <row r="92" spans="1:17" ht="12.75">
      <c r="A92">
        <f t="shared" si="3"/>
        <v>81</v>
      </c>
      <c r="B92" s="22">
        <v>34517</v>
      </c>
      <c r="C92" s="16" t="s">
        <v>192</v>
      </c>
      <c r="D92" s="18" t="s">
        <v>148</v>
      </c>
      <c r="E92" s="18" t="s">
        <v>469</v>
      </c>
      <c r="F92" s="23" t="s">
        <v>98</v>
      </c>
      <c r="G92" s="16" t="s">
        <v>193</v>
      </c>
      <c r="H92" s="18">
        <v>28</v>
      </c>
      <c r="I92" s="24">
        <v>0.07591435185185186</v>
      </c>
      <c r="J92" s="20">
        <v>0.014444444444444446</v>
      </c>
      <c r="K92" s="18"/>
      <c r="L92" s="24">
        <v>0.0356712962962963</v>
      </c>
      <c r="M92" s="20">
        <f t="shared" si="4"/>
        <v>0</v>
      </c>
      <c r="N92" s="24">
        <v>0.02579861111111111</v>
      </c>
      <c r="O92" s="18" t="s">
        <v>194</v>
      </c>
      <c r="P92" s="18"/>
      <c r="Q92" s="18"/>
    </row>
    <row r="93" spans="1:17" ht="12.75">
      <c r="A93">
        <f t="shared" si="3"/>
        <v>82</v>
      </c>
      <c r="B93" s="22">
        <v>34532</v>
      </c>
      <c r="C93" s="16" t="s">
        <v>115</v>
      </c>
      <c r="D93" s="18" t="s">
        <v>521</v>
      </c>
      <c r="E93" s="18" t="s">
        <v>469</v>
      </c>
      <c r="F93" s="23" t="s">
        <v>175</v>
      </c>
      <c r="G93" s="16" t="s">
        <v>195</v>
      </c>
      <c r="H93" s="18">
        <v>3</v>
      </c>
      <c r="I93" s="24">
        <v>0.16291666666666668</v>
      </c>
      <c r="J93" s="20">
        <v>0.02383101851851852</v>
      </c>
      <c r="K93" s="18"/>
      <c r="L93" s="24">
        <v>0.07916666666666666</v>
      </c>
      <c r="M93" s="20">
        <f t="shared" si="4"/>
        <v>0.001990740740740765</v>
      </c>
      <c r="N93" s="24">
        <v>0.05792824074074074</v>
      </c>
      <c r="O93" s="18" t="s">
        <v>35</v>
      </c>
      <c r="P93" s="18"/>
      <c r="Q93" s="18"/>
    </row>
    <row r="94" spans="1:17" ht="12.75">
      <c r="A94">
        <f t="shared" si="3"/>
        <v>83</v>
      </c>
      <c r="B94" s="22">
        <v>34566</v>
      </c>
      <c r="C94" s="16" t="s">
        <v>133</v>
      </c>
      <c r="D94" s="18" t="s">
        <v>521</v>
      </c>
      <c r="E94" s="18" t="s">
        <v>448</v>
      </c>
      <c r="F94" s="16" t="s">
        <v>267</v>
      </c>
      <c r="G94" s="18" t="s">
        <v>205</v>
      </c>
      <c r="H94" s="18">
        <v>130</v>
      </c>
      <c r="I94" s="24">
        <v>0.09097222222222222</v>
      </c>
      <c r="J94" s="20">
        <v>0.03221064814814815</v>
      </c>
      <c r="K94" s="18"/>
      <c r="L94" s="24">
        <v>0.04050925925925926</v>
      </c>
      <c r="M94" s="20">
        <f t="shared" si="4"/>
        <v>0.0006712962962962914</v>
      </c>
      <c r="N94" s="20">
        <v>0.01758101851851852</v>
      </c>
      <c r="O94" s="18"/>
      <c r="P94" s="18"/>
      <c r="Q94" s="18"/>
    </row>
    <row r="95" spans="1:17" ht="12.75">
      <c r="A95">
        <f t="shared" si="3"/>
        <v>84</v>
      </c>
      <c r="B95" s="22">
        <v>34588</v>
      </c>
      <c r="C95" s="16" t="s">
        <v>94</v>
      </c>
      <c r="D95" s="18" t="s">
        <v>521</v>
      </c>
      <c r="E95" s="18" t="s">
        <v>469</v>
      </c>
      <c r="F95" s="23" t="s">
        <v>98</v>
      </c>
      <c r="G95" s="16" t="s">
        <v>206</v>
      </c>
      <c r="H95" s="18">
        <v>4</v>
      </c>
      <c r="I95" s="24">
        <v>0.08613425925925926</v>
      </c>
      <c r="J95" s="20">
        <v>0.016666666666666666</v>
      </c>
      <c r="K95" s="18"/>
      <c r="L95" s="24">
        <v>0.041840277777777775</v>
      </c>
      <c r="M95" s="20">
        <f t="shared" si="4"/>
        <v>0.0013541666666666667</v>
      </c>
      <c r="N95" s="24">
        <v>0.026273148148148153</v>
      </c>
      <c r="O95" s="18" t="s">
        <v>155</v>
      </c>
      <c r="P95" s="18"/>
      <c r="Q95" s="18" t="s">
        <v>155</v>
      </c>
    </row>
    <row r="96" spans="1:17" ht="12.75">
      <c r="A96">
        <f t="shared" si="3"/>
        <v>85</v>
      </c>
      <c r="B96" s="22">
        <v>34602</v>
      </c>
      <c r="C96" s="16" t="s">
        <v>34</v>
      </c>
      <c r="D96" s="18" t="s">
        <v>521</v>
      </c>
      <c r="E96" s="18" t="s">
        <v>448</v>
      </c>
      <c r="F96" s="16" t="s">
        <v>29</v>
      </c>
      <c r="G96" s="18" t="s">
        <v>207</v>
      </c>
      <c r="H96" s="18">
        <v>1</v>
      </c>
      <c r="I96" s="24">
        <v>0.053831018518518514</v>
      </c>
      <c r="J96" s="20">
        <v>0.01769675925925926</v>
      </c>
      <c r="K96" s="18"/>
      <c r="L96" s="24">
        <v>0.02908564814814815</v>
      </c>
      <c r="M96" s="20">
        <f t="shared" si="4"/>
        <v>0</v>
      </c>
      <c r="N96" s="20">
        <v>0.0070486111111111105</v>
      </c>
      <c r="O96" s="18"/>
      <c r="P96" s="18"/>
      <c r="Q96" s="18"/>
    </row>
    <row r="97" spans="1:17" ht="12.75">
      <c r="A97">
        <f t="shared" si="3"/>
        <v>86</v>
      </c>
      <c r="B97" s="22">
        <v>34615</v>
      </c>
      <c r="C97" s="16" t="s">
        <v>166</v>
      </c>
      <c r="D97" s="18" t="s">
        <v>521</v>
      </c>
      <c r="E97" s="18" t="s">
        <v>448</v>
      </c>
      <c r="F97" s="16" t="s">
        <v>141</v>
      </c>
      <c r="G97" s="18" t="s">
        <v>167</v>
      </c>
      <c r="H97" s="18">
        <v>4</v>
      </c>
      <c r="I97" s="24">
        <v>0.1250462962962963</v>
      </c>
      <c r="J97" s="20">
        <v>0.036111111111111115</v>
      </c>
      <c r="K97" s="18"/>
      <c r="L97" s="24">
        <v>0.06927083333333334</v>
      </c>
      <c r="M97" s="20">
        <f t="shared" si="4"/>
        <v>0.0005671296296296154</v>
      </c>
      <c r="N97" s="20">
        <v>0.01909722222222222</v>
      </c>
      <c r="O97" s="18"/>
      <c r="P97" s="18"/>
      <c r="Q97" s="18"/>
    </row>
    <row r="98" spans="1:17" ht="12.75">
      <c r="A98">
        <f t="shared" si="3"/>
        <v>87</v>
      </c>
      <c r="B98" s="22">
        <v>34622</v>
      </c>
      <c r="C98" s="16" t="s">
        <v>150</v>
      </c>
      <c r="D98" s="18" t="s">
        <v>521</v>
      </c>
      <c r="E98" s="18" t="s">
        <v>448</v>
      </c>
      <c r="F98" s="16" t="s">
        <v>29</v>
      </c>
      <c r="G98" s="18" t="s">
        <v>208</v>
      </c>
      <c r="H98" s="18">
        <v>2</v>
      </c>
      <c r="I98" s="24">
        <v>0.054872685185185184</v>
      </c>
      <c r="J98" s="20">
        <v>0.015277777777777777</v>
      </c>
      <c r="K98" s="18"/>
      <c r="L98" s="24">
        <v>0.031331018518518515</v>
      </c>
      <c r="M98" s="20">
        <f t="shared" si="4"/>
        <v>0.0006250000000000014</v>
      </c>
      <c r="N98" s="20">
        <v>0.007638888888888889</v>
      </c>
      <c r="O98" s="18"/>
      <c r="P98" s="18"/>
      <c r="Q98" s="18"/>
    </row>
    <row r="99" spans="1:17" ht="12.75">
      <c r="A99">
        <f t="shared" si="3"/>
        <v>88</v>
      </c>
      <c r="B99" s="22">
        <v>34643</v>
      </c>
      <c r="C99" s="18" t="s">
        <v>209</v>
      </c>
      <c r="D99" s="18" t="s">
        <v>521</v>
      </c>
      <c r="E99" s="18" t="s">
        <v>470</v>
      </c>
      <c r="F99" s="18" t="s">
        <v>210</v>
      </c>
      <c r="G99" s="18" t="s">
        <v>211</v>
      </c>
      <c r="H99" s="18">
        <v>19</v>
      </c>
      <c r="I99" s="24">
        <v>0.24300925925925929</v>
      </c>
      <c r="J99" s="20">
        <v>0.051388888888888894</v>
      </c>
      <c r="K99" s="18"/>
      <c r="L99" s="24">
        <v>0.1205787037037037</v>
      </c>
      <c r="M99" s="20">
        <f t="shared" si="4"/>
        <v>0.00506944444444446</v>
      </c>
      <c r="N99" s="20">
        <v>0.06597222222222222</v>
      </c>
      <c r="O99" s="18"/>
      <c r="P99" s="18"/>
      <c r="Q99" s="18"/>
    </row>
    <row r="100" spans="1:17" ht="12.75">
      <c r="A100">
        <f t="shared" si="3"/>
        <v>89</v>
      </c>
      <c r="B100" s="22">
        <v>34763</v>
      </c>
      <c r="C100" s="18" t="s">
        <v>217</v>
      </c>
      <c r="D100" s="18" t="s">
        <v>521</v>
      </c>
      <c r="E100" s="18" t="s">
        <v>470</v>
      </c>
      <c r="F100" s="18" t="s">
        <v>218</v>
      </c>
      <c r="G100" s="18" t="s">
        <v>219</v>
      </c>
      <c r="H100" s="18">
        <v>9</v>
      </c>
      <c r="I100" s="24">
        <v>0.1063425925925926</v>
      </c>
      <c r="J100" s="20">
        <v>0.023541666666666666</v>
      </c>
      <c r="K100" s="18"/>
      <c r="L100" s="24">
        <v>0.0437962962962963</v>
      </c>
      <c r="M100" s="20">
        <v>0.0008912037037037036</v>
      </c>
      <c r="N100" s="24">
        <v>0.03809027777777778</v>
      </c>
      <c r="O100" s="18" t="s">
        <v>33</v>
      </c>
      <c r="P100" s="18"/>
      <c r="Q100" s="18" t="s">
        <v>33</v>
      </c>
    </row>
    <row r="101" spans="1:17" ht="12.75">
      <c r="A101">
        <f t="shared" si="3"/>
        <v>90</v>
      </c>
      <c r="B101" s="22">
        <v>34777</v>
      </c>
      <c r="C101" s="16" t="s">
        <v>220</v>
      </c>
      <c r="D101" s="18" t="s">
        <v>521</v>
      </c>
      <c r="E101" s="18" t="s">
        <v>448</v>
      </c>
      <c r="F101" s="16" t="s">
        <v>29</v>
      </c>
      <c r="G101" s="16" t="s">
        <v>221</v>
      </c>
      <c r="H101" s="18">
        <v>7</v>
      </c>
      <c r="I101" s="24">
        <v>0.05717592592592593</v>
      </c>
      <c r="J101" s="20"/>
      <c r="K101" s="18"/>
      <c r="L101" s="24">
        <v>0.03226851851851852</v>
      </c>
      <c r="M101" s="18"/>
      <c r="N101" s="20"/>
      <c r="O101" s="18" t="s">
        <v>225</v>
      </c>
      <c r="P101" s="18"/>
      <c r="Q101" s="18"/>
    </row>
    <row r="102" spans="1:17" ht="12.75">
      <c r="A102">
        <f t="shared" si="3"/>
        <v>91</v>
      </c>
      <c r="B102" s="22">
        <v>34791</v>
      </c>
      <c r="C102" s="16" t="s">
        <v>140</v>
      </c>
      <c r="D102" s="18" t="s">
        <v>521</v>
      </c>
      <c r="E102" s="18" t="s">
        <v>448</v>
      </c>
      <c r="F102" s="16" t="s">
        <v>141</v>
      </c>
      <c r="G102" s="16" t="s">
        <v>170</v>
      </c>
      <c r="H102" s="18">
        <v>2</v>
      </c>
      <c r="I102" s="24">
        <v>0.11628472222222223</v>
      </c>
      <c r="J102" s="20">
        <v>0.03422453703703703</v>
      </c>
      <c r="K102" s="18"/>
      <c r="L102" s="24">
        <v>0.06497685185185186</v>
      </c>
      <c r="M102" s="18"/>
      <c r="N102" s="20">
        <v>0.016979166666666667</v>
      </c>
      <c r="O102" s="18" t="s">
        <v>33</v>
      </c>
      <c r="P102" s="18"/>
      <c r="Q102" s="18" t="s">
        <v>33</v>
      </c>
    </row>
    <row r="103" spans="1:17" ht="12.75">
      <c r="A103">
        <f t="shared" si="3"/>
        <v>92</v>
      </c>
      <c r="B103" s="22">
        <v>34798</v>
      </c>
      <c r="C103" s="16" t="s">
        <v>25</v>
      </c>
      <c r="D103" s="18" t="s">
        <v>521</v>
      </c>
      <c r="E103" s="18" t="s">
        <v>448</v>
      </c>
      <c r="F103" s="16" t="s">
        <v>29</v>
      </c>
      <c r="G103" s="16" t="s">
        <v>222</v>
      </c>
      <c r="H103" s="18">
        <v>1</v>
      </c>
      <c r="I103" s="24">
        <v>0.05664351851851852</v>
      </c>
      <c r="J103" s="20">
        <v>0.01675925925925926</v>
      </c>
      <c r="K103" s="18"/>
      <c r="L103" s="24">
        <v>0.02980324074074074</v>
      </c>
      <c r="M103" s="20">
        <f>I103-J103-L103-N103</f>
        <v>0.0005324074074074068</v>
      </c>
      <c r="N103" s="20">
        <v>0.00954861111111111</v>
      </c>
      <c r="O103" s="18" t="s">
        <v>224</v>
      </c>
      <c r="P103" s="18"/>
      <c r="Q103" s="18"/>
    </row>
    <row r="104" spans="1:17" ht="12.75">
      <c r="A104">
        <f t="shared" si="3"/>
        <v>93</v>
      </c>
      <c r="B104" s="22">
        <v>34811</v>
      </c>
      <c r="C104" s="16" t="s">
        <v>166</v>
      </c>
      <c r="D104" s="18" t="s">
        <v>521</v>
      </c>
      <c r="E104" s="18" t="s">
        <v>448</v>
      </c>
      <c r="F104" s="16" t="s">
        <v>29</v>
      </c>
      <c r="G104" s="16" t="s">
        <v>62</v>
      </c>
      <c r="H104" s="18">
        <v>2</v>
      </c>
      <c r="I104" s="24">
        <v>0.05434027777777778</v>
      </c>
      <c r="J104" s="20">
        <v>0.015787037037037037</v>
      </c>
      <c r="K104" s="18"/>
      <c r="L104" s="24">
        <v>0.0312962962962963</v>
      </c>
      <c r="M104" s="24"/>
      <c r="N104" s="20"/>
      <c r="O104" s="18" t="s">
        <v>225</v>
      </c>
      <c r="P104" s="18"/>
      <c r="Q104" s="18"/>
    </row>
    <row r="105" spans="1:17" ht="12.75">
      <c r="A105">
        <f t="shared" si="3"/>
        <v>94</v>
      </c>
      <c r="B105" s="22">
        <v>34819</v>
      </c>
      <c r="C105" s="16" t="s">
        <v>228</v>
      </c>
      <c r="D105" s="18" t="s">
        <v>229</v>
      </c>
      <c r="E105" s="18" t="s">
        <v>448</v>
      </c>
      <c r="F105" s="16" t="s">
        <v>141</v>
      </c>
      <c r="G105" s="16" t="s">
        <v>167</v>
      </c>
      <c r="H105" s="18">
        <v>18</v>
      </c>
      <c r="I105" s="24">
        <v>0.11677083333333334</v>
      </c>
      <c r="J105" s="20">
        <v>0.0355787037037037</v>
      </c>
      <c r="K105" s="16"/>
      <c r="L105" s="24">
        <v>0.061342592592592594</v>
      </c>
      <c r="M105" s="24">
        <f aca="true" t="shared" si="5" ref="M105:M117">I105-N105-L105-J105</f>
        <v>0</v>
      </c>
      <c r="N105" s="20">
        <v>0.019849537037037037</v>
      </c>
      <c r="O105" s="18" t="s">
        <v>230</v>
      </c>
      <c r="P105" s="18"/>
      <c r="Q105" s="18" t="s">
        <v>230</v>
      </c>
    </row>
    <row r="106" spans="1:17" ht="12.75">
      <c r="A106">
        <f t="shared" si="3"/>
        <v>95</v>
      </c>
      <c r="B106" s="22">
        <v>34833</v>
      </c>
      <c r="C106" s="16" t="s">
        <v>231</v>
      </c>
      <c r="D106" s="16" t="s">
        <v>232</v>
      </c>
      <c r="E106" s="16" t="s">
        <v>469</v>
      </c>
      <c r="F106" s="23" t="s">
        <v>98</v>
      </c>
      <c r="G106" s="16" t="s">
        <v>233</v>
      </c>
      <c r="H106" s="18">
        <v>14</v>
      </c>
      <c r="I106" s="24">
        <v>0.07736111111111112</v>
      </c>
      <c r="J106" s="20">
        <v>0.01289351851851852</v>
      </c>
      <c r="K106" s="18"/>
      <c r="L106" s="24">
        <v>0.04006944444444444</v>
      </c>
      <c r="M106" s="24">
        <f t="shared" si="5"/>
        <v>1.3877787807814457E-17</v>
      </c>
      <c r="N106" s="24">
        <v>0.024398148148148145</v>
      </c>
      <c r="O106" s="16" t="s">
        <v>234</v>
      </c>
      <c r="P106" s="18"/>
      <c r="Q106" s="18"/>
    </row>
    <row r="107" spans="1:17" ht="12.75">
      <c r="A107">
        <f t="shared" si="3"/>
        <v>96</v>
      </c>
      <c r="B107" s="22">
        <v>34840</v>
      </c>
      <c r="C107" s="16" t="s">
        <v>235</v>
      </c>
      <c r="D107" s="18" t="s">
        <v>236</v>
      </c>
      <c r="E107" s="18" t="s">
        <v>448</v>
      </c>
      <c r="F107" s="16" t="s">
        <v>29</v>
      </c>
      <c r="G107" s="16" t="s">
        <v>237</v>
      </c>
      <c r="H107" s="18">
        <v>6</v>
      </c>
      <c r="I107" s="24">
        <v>0.0671875</v>
      </c>
      <c r="J107" s="20">
        <v>0.01596064814814815</v>
      </c>
      <c r="K107" s="18"/>
      <c r="L107" s="24">
        <v>0.0349537037037037</v>
      </c>
      <c r="M107" s="24">
        <f t="shared" si="5"/>
        <v>0</v>
      </c>
      <c r="N107" s="20">
        <v>0.016273148148148148</v>
      </c>
      <c r="O107" s="18" t="s">
        <v>234</v>
      </c>
      <c r="P107" s="18"/>
      <c r="Q107" s="18"/>
    </row>
    <row r="108" spans="1:17" ht="12.75">
      <c r="A108">
        <f t="shared" si="3"/>
        <v>97</v>
      </c>
      <c r="B108" s="22">
        <v>34847</v>
      </c>
      <c r="C108" s="16" t="s">
        <v>89</v>
      </c>
      <c r="D108" s="18" t="s">
        <v>521</v>
      </c>
      <c r="E108" s="18" t="s">
        <v>469</v>
      </c>
      <c r="F108" s="23" t="s">
        <v>98</v>
      </c>
      <c r="G108" s="16" t="s">
        <v>238</v>
      </c>
      <c r="H108" s="18">
        <v>8</v>
      </c>
      <c r="I108" s="24">
        <v>0.07857638888888889</v>
      </c>
      <c r="J108" s="20">
        <v>0.013935185185185184</v>
      </c>
      <c r="K108" s="18"/>
      <c r="L108" s="24">
        <v>0.04181712962962963</v>
      </c>
      <c r="M108" s="24">
        <f t="shared" si="5"/>
        <v>0</v>
      </c>
      <c r="N108" s="24">
        <v>0.022824074074074076</v>
      </c>
      <c r="O108" s="16" t="s">
        <v>234</v>
      </c>
      <c r="P108" s="18"/>
      <c r="Q108" s="18"/>
    </row>
    <row r="109" spans="1:17" ht="12.75">
      <c r="A109">
        <f t="shared" si="3"/>
        <v>98</v>
      </c>
      <c r="B109" s="22">
        <v>34853</v>
      </c>
      <c r="C109" s="16" t="s">
        <v>136</v>
      </c>
      <c r="D109" s="18" t="s">
        <v>521</v>
      </c>
      <c r="E109" s="18" t="s">
        <v>469</v>
      </c>
      <c r="F109" s="23" t="s">
        <v>98</v>
      </c>
      <c r="G109" s="16" t="s">
        <v>99</v>
      </c>
      <c r="H109" s="18">
        <v>2</v>
      </c>
      <c r="I109" s="24">
        <v>0.07667824074074074</v>
      </c>
      <c r="J109" s="20">
        <v>0.013541666666666667</v>
      </c>
      <c r="K109" s="18"/>
      <c r="L109" s="24">
        <v>0.03935185185185185</v>
      </c>
      <c r="M109" s="24">
        <f t="shared" si="5"/>
        <v>0.0005208333333333315</v>
      </c>
      <c r="N109" s="24">
        <v>0.02326388888888889</v>
      </c>
      <c r="O109" s="16" t="s">
        <v>225</v>
      </c>
      <c r="P109" s="18"/>
      <c r="Q109" s="18"/>
    </row>
    <row r="110" spans="1:17" ht="12.75">
      <c r="A110">
        <f t="shared" si="3"/>
        <v>99</v>
      </c>
      <c r="B110" s="22">
        <v>34861</v>
      </c>
      <c r="C110" s="16" t="s">
        <v>239</v>
      </c>
      <c r="D110" s="18" t="s">
        <v>148</v>
      </c>
      <c r="E110" s="18" t="s">
        <v>469</v>
      </c>
      <c r="F110" s="23" t="s">
        <v>172</v>
      </c>
      <c r="G110" s="16" t="s">
        <v>240</v>
      </c>
      <c r="H110" s="18">
        <v>3</v>
      </c>
      <c r="I110" s="24">
        <v>0.06802083333333334</v>
      </c>
      <c r="J110" s="20">
        <v>0.009652777777777777</v>
      </c>
      <c r="K110" s="18"/>
      <c r="L110" s="24">
        <v>0.03606481481481481</v>
      </c>
      <c r="M110" s="24">
        <f t="shared" si="5"/>
        <v>0</v>
      </c>
      <c r="N110" s="24">
        <v>0.022303240740740738</v>
      </c>
      <c r="O110" s="16" t="s">
        <v>194</v>
      </c>
      <c r="P110" s="18"/>
      <c r="Q110" s="18"/>
    </row>
    <row r="111" spans="1:17" ht="12.75">
      <c r="A111">
        <f t="shared" si="3"/>
        <v>100</v>
      </c>
      <c r="B111" s="22">
        <v>34875</v>
      </c>
      <c r="C111" s="16" t="s">
        <v>90</v>
      </c>
      <c r="D111" s="18" t="s">
        <v>521</v>
      </c>
      <c r="E111" s="18" t="s">
        <v>469</v>
      </c>
      <c r="F111" s="23" t="s">
        <v>98</v>
      </c>
      <c r="G111" s="16" t="s">
        <v>244</v>
      </c>
      <c r="H111" s="18">
        <v>9</v>
      </c>
      <c r="I111" s="24">
        <f>J111+L111+N111</f>
        <v>0.08041666666666666</v>
      </c>
      <c r="J111" s="20">
        <v>0.016064814814814813</v>
      </c>
      <c r="K111" s="18"/>
      <c r="L111" s="24">
        <v>0.040219907407407406</v>
      </c>
      <c r="M111" s="24">
        <f t="shared" si="5"/>
        <v>0</v>
      </c>
      <c r="N111" s="24">
        <v>0.024131944444444445</v>
      </c>
      <c r="O111" s="16" t="s">
        <v>33</v>
      </c>
      <c r="P111" s="18"/>
      <c r="Q111" s="18" t="s">
        <v>33</v>
      </c>
    </row>
    <row r="112" spans="1:17" ht="12.75">
      <c r="A112">
        <f t="shared" si="3"/>
        <v>101</v>
      </c>
      <c r="B112" s="22">
        <v>34882</v>
      </c>
      <c r="C112" s="16" t="s">
        <v>246</v>
      </c>
      <c r="D112" s="18" t="s">
        <v>148</v>
      </c>
      <c r="E112" s="18" t="s">
        <v>469</v>
      </c>
      <c r="F112" s="23" t="s">
        <v>98</v>
      </c>
      <c r="G112" s="16" t="s">
        <v>247</v>
      </c>
      <c r="H112" s="18">
        <v>5</v>
      </c>
      <c r="I112" s="24">
        <v>0.08387731481481481</v>
      </c>
      <c r="J112" s="20">
        <v>0.013252314814814814</v>
      </c>
      <c r="K112" s="18"/>
      <c r="L112" s="24">
        <v>0.04414351851851852</v>
      </c>
      <c r="M112" s="24">
        <f t="shared" si="5"/>
        <v>0.0005555555555555522</v>
      </c>
      <c r="N112" s="24">
        <v>0.025925925925925925</v>
      </c>
      <c r="O112" s="16" t="s">
        <v>194</v>
      </c>
      <c r="P112" s="18"/>
      <c r="Q112" s="18"/>
    </row>
    <row r="113" spans="1:17" ht="12.75">
      <c r="A113">
        <f t="shared" si="3"/>
        <v>102</v>
      </c>
      <c r="B113" s="22">
        <v>34889</v>
      </c>
      <c r="C113" s="16" t="s">
        <v>248</v>
      </c>
      <c r="D113" s="18" t="s">
        <v>148</v>
      </c>
      <c r="E113" s="18" t="s">
        <v>469</v>
      </c>
      <c r="F113" s="23" t="s">
        <v>202</v>
      </c>
      <c r="G113" s="16" t="s">
        <v>249</v>
      </c>
      <c r="H113" s="18">
        <v>87</v>
      </c>
      <c r="I113" s="24">
        <v>0.3954398148148148</v>
      </c>
      <c r="J113" s="20">
        <v>0.03631944444444444</v>
      </c>
      <c r="K113" s="18"/>
      <c r="L113" s="24">
        <v>0.19942129629629632</v>
      </c>
      <c r="M113" s="24"/>
      <c r="N113" s="24">
        <v>0.15969907407407408</v>
      </c>
      <c r="O113" s="16" t="s">
        <v>432</v>
      </c>
      <c r="P113" s="18"/>
      <c r="Q113" s="18"/>
    </row>
    <row r="114" spans="1:17" ht="12.75">
      <c r="A114">
        <f t="shared" si="3"/>
        <v>103</v>
      </c>
      <c r="B114" s="22">
        <v>34896</v>
      </c>
      <c r="C114" s="16" t="s">
        <v>13</v>
      </c>
      <c r="D114" s="18" t="s">
        <v>521</v>
      </c>
      <c r="E114" s="18" t="s">
        <v>469</v>
      </c>
      <c r="F114" s="23" t="s">
        <v>172</v>
      </c>
      <c r="G114" s="16" t="s">
        <v>63</v>
      </c>
      <c r="H114" s="18">
        <v>1</v>
      </c>
      <c r="I114" s="24">
        <v>0.07902777777777777</v>
      </c>
      <c r="J114" s="20">
        <v>0.010347222222222223</v>
      </c>
      <c r="K114" s="18"/>
      <c r="L114" s="24">
        <v>0.039247685185185184</v>
      </c>
      <c r="M114" s="24">
        <f t="shared" si="5"/>
        <v>0.0012384259259259206</v>
      </c>
      <c r="N114" s="24">
        <v>0.028194444444444442</v>
      </c>
      <c r="O114" s="18"/>
      <c r="P114" s="18"/>
      <c r="Q114" s="18"/>
    </row>
    <row r="115" spans="1:17" ht="12.75">
      <c r="A115">
        <f t="shared" si="3"/>
        <v>104</v>
      </c>
      <c r="B115" s="22">
        <v>34903</v>
      </c>
      <c r="C115" s="16" t="s">
        <v>250</v>
      </c>
      <c r="D115" s="18" t="s">
        <v>521</v>
      </c>
      <c r="E115" s="18" t="s">
        <v>469</v>
      </c>
      <c r="F115" s="23" t="s">
        <v>98</v>
      </c>
      <c r="G115" s="16" t="s">
        <v>251</v>
      </c>
      <c r="H115" s="18">
        <v>6</v>
      </c>
      <c r="I115" s="24">
        <v>0.07791666666666668</v>
      </c>
      <c r="J115" s="20">
        <v>0.013194444444444444</v>
      </c>
      <c r="K115" s="18"/>
      <c r="L115" s="24">
        <v>0.03902777777777778</v>
      </c>
      <c r="M115" s="24">
        <f t="shared" si="5"/>
        <v>0</v>
      </c>
      <c r="N115" s="24">
        <v>0.025694444444444447</v>
      </c>
      <c r="O115" s="18"/>
      <c r="P115" s="18"/>
      <c r="Q115" s="18"/>
    </row>
    <row r="116" spans="1:17" ht="12.75">
      <c r="A116">
        <f t="shared" si="3"/>
        <v>105</v>
      </c>
      <c r="B116" s="22">
        <v>34930</v>
      </c>
      <c r="C116" s="16" t="s">
        <v>201</v>
      </c>
      <c r="D116" s="18" t="s">
        <v>521</v>
      </c>
      <c r="E116" s="18" t="s">
        <v>469</v>
      </c>
      <c r="F116" s="23" t="s">
        <v>202</v>
      </c>
      <c r="G116" s="16" t="s">
        <v>249</v>
      </c>
      <c r="H116" s="18">
        <v>16</v>
      </c>
      <c r="I116" s="24">
        <v>0.39243055555555556</v>
      </c>
      <c r="J116" s="20">
        <v>0.03747685185185185</v>
      </c>
      <c r="K116" s="18"/>
      <c r="L116" s="24">
        <v>0.20256944444444444</v>
      </c>
      <c r="M116" s="24"/>
      <c r="N116" s="24">
        <v>0.15238425925925925</v>
      </c>
      <c r="O116" s="18" t="s">
        <v>357</v>
      </c>
      <c r="P116" s="18"/>
      <c r="Q116" s="18" t="s">
        <v>33</v>
      </c>
    </row>
    <row r="117" spans="1:17" ht="12.75">
      <c r="A117">
        <f t="shared" si="3"/>
        <v>106</v>
      </c>
      <c r="B117" s="22">
        <v>34937</v>
      </c>
      <c r="C117" s="16" t="s">
        <v>253</v>
      </c>
      <c r="D117" s="18" t="s">
        <v>148</v>
      </c>
      <c r="E117" s="18" t="s">
        <v>469</v>
      </c>
      <c r="F117" s="23" t="s">
        <v>98</v>
      </c>
      <c r="G117" s="16" t="s">
        <v>254</v>
      </c>
      <c r="H117" s="18">
        <v>9</v>
      </c>
      <c r="I117" s="24">
        <v>0.09421296296296296</v>
      </c>
      <c r="J117" s="20">
        <v>0.015162037037037036</v>
      </c>
      <c r="K117" s="18"/>
      <c r="L117" s="24">
        <v>0.05273148148148148</v>
      </c>
      <c r="M117" s="24">
        <f t="shared" si="5"/>
        <v>0</v>
      </c>
      <c r="N117" s="24">
        <v>0.02631944444444444</v>
      </c>
      <c r="O117" s="18" t="s">
        <v>255</v>
      </c>
      <c r="P117" s="18"/>
      <c r="Q117" s="18"/>
    </row>
    <row r="118" spans="1:17" ht="12.75">
      <c r="A118">
        <f t="shared" si="3"/>
        <v>107</v>
      </c>
      <c r="B118" s="22">
        <v>34944</v>
      </c>
      <c r="C118" s="16" t="s">
        <v>133</v>
      </c>
      <c r="D118" s="18" t="s">
        <v>521</v>
      </c>
      <c r="E118" s="18" t="s">
        <v>469</v>
      </c>
      <c r="F118" s="23" t="s">
        <v>98</v>
      </c>
      <c r="G118" s="16" t="s">
        <v>256</v>
      </c>
      <c r="H118" s="18">
        <v>4</v>
      </c>
      <c r="I118" s="24">
        <v>0.08001157407407407</v>
      </c>
      <c r="J118" s="20">
        <v>0.014050925925925927</v>
      </c>
      <c r="K118" s="18"/>
      <c r="L118" s="18"/>
      <c r="M118" s="24"/>
      <c r="N118" s="18"/>
      <c r="O118" s="18" t="s">
        <v>225</v>
      </c>
      <c r="P118" s="18" t="s">
        <v>539</v>
      </c>
      <c r="Q118" s="18"/>
    </row>
    <row r="119" spans="1:17" ht="12.75">
      <c r="A119">
        <f t="shared" si="3"/>
        <v>108</v>
      </c>
      <c r="B119" s="22">
        <v>34952</v>
      </c>
      <c r="C119" s="16" t="s">
        <v>257</v>
      </c>
      <c r="D119" s="18" t="s">
        <v>521</v>
      </c>
      <c r="E119" s="18" t="s">
        <v>469</v>
      </c>
      <c r="F119" s="23" t="s">
        <v>98</v>
      </c>
      <c r="G119" s="16" t="s">
        <v>99</v>
      </c>
      <c r="H119" s="18">
        <v>1</v>
      </c>
      <c r="I119" s="24">
        <v>0.07899305555555557</v>
      </c>
      <c r="J119" s="20">
        <v>0.013194444444444444</v>
      </c>
      <c r="K119" s="18"/>
      <c r="L119" s="24">
        <v>0.041666666666666664</v>
      </c>
      <c r="M119" s="24">
        <f>I119-N119-L119-J119</f>
        <v>0.0009259259259259429</v>
      </c>
      <c r="N119" s="24">
        <v>0.023206018518518515</v>
      </c>
      <c r="O119" s="18" t="s">
        <v>35</v>
      </c>
      <c r="P119" s="18"/>
      <c r="Q119" s="18"/>
    </row>
    <row r="120" spans="1:17" ht="12.75">
      <c r="A120">
        <f t="shared" si="3"/>
        <v>109</v>
      </c>
      <c r="B120" s="22">
        <v>34958</v>
      </c>
      <c r="C120" s="16" t="s">
        <v>258</v>
      </c>
      <c r="D120" s="18" t="s">
        <v>521</v>
      </c>
      <c r="E120" s="18" t="s">
        <v>469</v>
      </c>
      <c r="F120" s="23" t="s">
        <v>98</v>
      </c>
      <c r="G120" s="16" t="s">
        <v>99</v>
      </c>
      <c r="H120" s="18">
        <v>6</v>
      </c>
      <c r="I120" s="24">
        <v>0.08101851851851852</v>
      </c>
      <c r="J120" s="20"/>
      <c r="K120" s="18"/>
      <c r="L120" s="18"/>
      <c r="M120" s="24"/>
      <c r="N120" s="18"/>
      <c r="O120" s="16" t="s">
        <v>225</v>
      </c>
      <c r="P120" s="18" t="s">
        <v>397</v>
      </c>
      <c r="Q120" s="18"/>
    </row>
    <row r="121" spans="1:17" ht="12.75">
      <c r="A121">
        <f t="shared" si="3"/>
        <v>110</v>
      </c>
      <c r="B121" s="22">
        <v>34966</v>
      </c>
      <c r="C121" s="16" t="s">
        <v>34</v>
      </c>
      <c r="D121" s="18" t="s">
        <v>521</v>
      </c>
      <c r="E121" s="18" t="s">
        <v>448</v>
      </c>
      <c r="F121" s="16" t="s">
        <v>29</v>
      </c>
      <c r="G121" s="16" t="s">
        <v>62</v>
      </c>
      <c r="H121" s="18">
        <v>1</v>
      </c>
      <c r="I121" s="24">
        <v>0.05626157407407407</v>
      </c>
      <c r="J121" s="20">
        <v>0.019282407407407408</v>
      </c>
      <c r="K121" s="18"/>
      <c r="L121" s="24">
        <v>0.028645833333333332</v>
      </c>
      <c r="M121" s="24">
        <f>I121-N121-L121-J121</f>
        <v>0</v>
      </c>
      <c r="N121" s="20">
        <v>0.008333333333333333</v>
      </c>
      <c r="O121" s="18"/>
      <c r="P121" s="18"/>
      <c r="Q121" s="18"/>
    </row>
    <row r="122" spans="1:17" ht="12.75">
      <c r="A122">
        <f t="shared" si="3"/>
        <v>111</v>
      </c>
      <c r="B122" s="22">
        <v>34973</v>
      </c>
      <c r="C122" s="16" t="s">
        <v>188</v>
      </c>
      <c r="D122" s="18" t="s">
        <v>316</v>
      </c>
      <c r="E122" s="18" t="s">
        <v>469</v>
      </c>
      <c r="F122" s="23" t="s">
        <v>189</v>
      </c>
      <c r="G122" s="16" t="s">
        <v>260</v>
      </c>
      <c r="H122" s="18">
        <v>37</v>
      </c>
      <c r="I122" s="42">
        <f>SUM(J122,L122,N122)</f>
        <v>0.2585648148148148</v>
      </c>
      <c r="J122" s="20">
        <v>0.038356481481481484</v>
      </c>
      <c r="K122" s="18"/>
      <c r="L122" s="24">
        <v>0.1374074074074074</v>
      </c>
      <c r="M122" s="24">
        <f>I122-N122-L122-J122</f>
        <v>0</v>
      </c>
      <c r="N122" s="24">
        <v>0.08280092592592593</v>
      </c>
      <c r="O122" s="48" t="s">
        <v>261</v>
      </c>
      <c r="P122" s="18"/>
      <c r="Q122" s="18" t="s">
        <v>190</v>
      </c>
    </row>
    <row r="123" spans="1:17" ht="12.75">
      <c r="A123">
        <f t="shared" si="3"/>
        <v>112</v>
      </c>
      <c r="B123" s="22">
        <v>34991</v>
      </c>
      <c r="C123" s="16" t="s">
        <v>145</v>
      </c>
      <c r="D123" s="18" t="s">
        <v>146</v>
      </c>
      <c r="E123" s="18" t="s">
        <v>469</v>
      </c>
      <c r="F123" s="23" t="s">
        <v>98</v>
      </c>
      <c r="G123" s="16" t="s">
        <v>262</v>
      </c>
      <c r="H123" s="18">
        <v>21</v>
      </c>
      <c r="I123" s="24">
        <v>0.0798611111111111</v>
      </c>
      <c r="J123" s="20"/>
      <c r="K123" s="18"/>
      <c r="L123" s="24">
        <v>0.03824074074074074</v>
      </c>
      <c r="M123" s="24"/>
      <c r="N123" s="18"/>
      <c r="O123" s="18"/>
      <c r="P123" s="18" t="s">
        <v>245</v>
      </c>
      <c r="Q123" s="18"/>
    </row>
    <row r="124" spans="1:17" ht="12.75">
      <c r="A124">
        <f t="shared" si="3"/>
        <v>113</v>
      </c>
      <c r="B124" s="22">
        <v>35008</v>
      </c>
      <c r="C124" s="16" t="s">
        <v>263</v>
      </c>
      <c r="D124" s="18" t="s">
        <v>264</v>
      </c>
      <c r="E124" s="18" t="s">
        <v>448</v>
      </c>
      <c r="F124" s="16" t="s">
        <v>267</v>
      </c>
      <c r="G124" s="16" t="s">
        <v>205</v>
      </c>
      <c r="H124" s="18">
        <v>33</v>
      </c>
      <c r="I124" s="24">
        <v>0.0772800925925926</v>
      </c>
      <c r="J124" s="20">
        <v>0.02431712962962963</v>
      </c>
      <c r="K124" s="18"/>
      <c r="L124" s="24">
        <f>I124-J124-N124</f>
        <v>0.04075231481481482</v>
      </c>
      <c r="M124" s="24">
        <f>I124-N124-L124-J124</f>
        <v>0</v>
      </c>
      <c r="N124" s="20">
        <v>0.012210648148148146</v>
      </c>
      <c r="O124" s="16" t="s">
        <v>190</v>
      </c>
      <c r="P124" s="18"/>
      <c r="Q124" s="18" t="s">
        <v>190</v>
      </c>
    </row>
    <row r="125" spans="1:17" ht="12.75">
      <c r="A125">
        <f t="shared" si="3"/>
        <v>114</v>
      </c>
      <c r="B125" s="22">
        <v>35141</v>
      </c>
      <c r="C125" s="16" t="s">
        <v>220</v>
      </c>
      <c r="D125" s="18" t="s">
        <v>521</v>
      </c>
      <c r="E125" s="18" t="s">
        <v>448</v>
      </c>
      <c r="F125" s="16" t="s">
        <v>29</v>
      </c>
      <c r="G125" s="16" t="s">
        <v>62</v>
      </c>
      <c r="H125" s="18">
        <v>5</v>
      </c>
      <c r="I125" s="32">
        <v>0.052083333333333336</v>
      </c>
      <c r="J125" s="20"/>
      <c r="K125" s="18"/>
      <c r="L125" s="18"/>
      <c r="M125" s="18"/>
      <c r="N125" s="20"/>
      <c r="O125" s="16" t="s">
        <v>225</v>
      </c>
      <c r="P125" s="18" t="s">
        <v>245</v>
      </c>
      <c r="Q125" s="18"/>
    </row>
    <row r="126" spans="1:17" ht="12.75">
      <c r="A126">
        <f t="shared" si="3"/>
        <v>115</v>
      </c>
      <c r="B126" s="22">
        <v>35155</v>
      </c>
      <c r="C126" s="16" t="s">
        <v>201</v>
      </c>
      <c r="D126" s="18" t="s">
        <v>521</v>
      </c>
      <c r="E126" s="18" t="s">
        <v>448</v>
      </c>
      <c r="F126" s="16" t="s">
        <v>29</v>
      </c>
      <c r="G126" s="16" t="s">
        <v>62</v>
      </c>
      <c r="H126" s="18">
        <v>1</v>
      </c>
      <c r="I126" s="24">
        <v>0.056053240740740744</v>
      </c>
      <c r="J126" s="20"/>
      <c r="K126" s="18"/>
      <c r="L126" s="18"/>
      <c r="M126" s="18"/>
      <c r="N126" s="20"/>
      <c r="O126" s="18"/>
      <c r="P126" s="18"/>
      <c r="Q126" s="18"/>
    </row>
    <row r="127" spans="1:17" ht="12.75">
      <c r="A127">
        <f t="shared" si="3"/>
        <v>116</v>
      </c>
      <c r="B127" s="22">
        <v>35169</v>
      </c>
      <c r="C127" s="16" t="s">
        <v>140</v>
      </c>
      <c r="D127" s="18" t="s">
        <v>521</v>
      </c>
      <c r="E127" s="18" t="s">
        <v>448</v>
      </c>
      <c r="F127" s="16" t="s">
        <v>267</v>
      </c>
      <c r="G127" s="16" t="s">
        <v>205</v>
      </c>
      <c r="H127" s="18">
        <v>19</v>
      </c>
      <c r="I127" s="24">
        <v>0.0768287037037037</v>
      </c>
      <c r="J127" s="20">
        <v>0.023206018518518515</v>
      </c>
      <c r="K127" s="18"/>
      <c r="L127" s="24">
        <v>0.04130787037037037</v>
      </c>
      <c r="M127" s="24">
        <f aca="true" t="shared" si="6" ref="M127:M136">I127-N127-L127-J127</f>
        <v>0</v>
      </c>
      <c r="N127" s="20">
        <v>0.012314814814814815</v>
      </c>
      <c r="O127" s="18" t="s">
        <v>516</v>
      </c>
      <c r="P127" s="18"/>
      <c r="Q127" s="18"/>
    </row>
    <row r="128" spans="1:17" ht="12.75">
      <c r="A128">
        <f t="shared" si="3"/>
        <v>117</v>
      </c>
      <c r="B128" s="22">
        <v>35175</v>
      </c>
      <c r="C128" s="16" t="s">
        <v>166</v>
      </c>
      <c r="D128" s="18" t="s">
        <v>521</v>
      </c>
      <c r="E128" s="18" t="s">
        <v>448</v>
      </c>
      <c r="F128" s="16" t="s">
        <v>268</v>
      </c>
      <c r="G128" s="16" t="s">
        <v>269</v>
      </c>
      <c r="H128" s="18">
        <v>2</v>
      </c>
      <c r="I128" s="24">
        <v>0.03851851851851852</v>
      </c>
      <c r="J128" s="20">
        <v>0.011064814814814814</v>
      </c>
      <c r="K128" s="18"/>
      <c r="L128" s="24">
        <v>0.02125</v>
      </c>
      <c r="M128" s="24">
        <f t="shared" si="6"/>
        <v>0</v>
      </c>
      <c r="N128" s="20">
        <f>I128-J128-L128</f>
        <v>0.006203703703703708</v>
      </c>
      <c r="O128" s="16" t="s">
        <v>225</v>
      </c>
      <c r="P128" s="18"/>
      <c r="Q128" s="18"/>
    </row>
    <row r="129" spans="1:17" ht="12.75">
      <c r="A129">
        <f t="shared" si="3"/>
        <v>118</v>
      </c>
      <c r="B129" s="22">
        <v>35197</v>
      </c>
      <c r="C129" s="16" t="s">
        <v>271</v>
      </c>
      <c r="D129" s="18" t="s">
        <v>148</v>
      </c>
      <c r="E129" s="18" t="s">
        <v>469</v>
      </c>
      <c r="F129" s="23" t="s">
        <v>172</v>
      </c>
      <c r="G129" s="16" t="s">
        <v>273</v>
      </c>
      <c r="H129" s="18">
        <v>2</v>
      </c>
      <c r="I129" s="24">
        <v>0.06953703703703704</v>
      </c>
      <c r="J129" s="20">
        <v>0.009236111111111112</v>
      </c>
      <c r="K129" s="18"/>
      <c r="L129" s="24">
        <v>0.037071759259259256</v>
      </c>
      <c r="M129" s="24">
        <f t="shared" si="6"/>
        <v>0.0005439814814814856</v>
      </c>
      <c r="N129" s="24">
        <v>0.022685185185185183</v>
      </c>
      <c r="O129" s="16" t="s">
        <v>536</v>
      </c>
      <c r="P129" s="18"/>
      <c r="Q129" s="18"/>
    </row>
    <row r="130" spans="1:17" ht="12.75">
      <c r="A130">
        <f t="shared" si="3"/>
        <v>119</v>
      </c>
      <c r="B130" s="22">
        <v>35211</v>
      </c>
      <c r="C130" s="16" t="s">
        <v>89</v>
      </c>
      <c r="D130" s="18" t="s">
        <v>521</v>
      </c>
      <c r="E130" s="18" t="s">
        <v>469</v>
      </c>
      <c r="F130" s="23" t="s">
        <v>98</v>
      </c>
      <c r="G130" s="16" t="s">
        <v>274</v>
      </c>
      <c r="H130" s="18">
        <v>7</v>
      </c>
      <c r="I130" s="42">
        <v>0.07946759259259259</v>
      </c>
      <c r="J130" s="20">
        <v>0.013402777777777777</v>
      </c>
      <c r="K130" s="18"/>
      <c r="L130" s="24">
        <v>0.043576388888888894</v>
      </c>
      <c r="M130" s="24">
        <f t="shared" si="6"/>
        <v>0.000775462962962957</v>
      </c>
      <c r="N130" s="24">
        <v>0.02171296296296296</v>
      </c>
      <c r="O130" s="16" t="s">
        <v>275</v>
      </c>
      <c r="P130" s="18"/>
      <c r="Q130" s="18"/>
    </row>
    <row r="131" spans="1:17" ht="12.75">
      <c r="A131">
        <f t="shared" si="3"/>
        <v>120</v>
      </c>
      <c r="B131" s="22">
        <v>35217</v>
      </c>
      <c r="C131" s="16" t="s">
        <v>277</v>
      </c>
      <c r="D131" s="18" t="s">
        <v>521</v>
      </c>
      <c r="E131" s="18" t="s">
        <v>469</v>
      </c>
      <c r="F131" s="23" t="s">
        <v>98</v>
      </c>
      <c r="G131" s="16" t="s">
        <v>278</v>
      </c>
      <c r="H131" s="18">
        <v>4</v>
      </c>
      <c r="I131" s="24">
        <v>0.07506944444444445</v>
      </c>
      <c r="J131" s="20">
        <v>0.01357638888888889</v>
      </c>
      <c r="K131" s="18"/>
      <c r="L131" s="24">
        <v>0.03802083333333333</v>
      </c>
      <c r="M131" s="24">
        <f t="shared" si="6"/>
        <v>0</v>
      </c>
      <c r="N131" s="24">
        <f>I131-J131-L131</f>
        <v>0.023472222222222235</v>
      </c>
      <c r="O131" s="16" t="s">
        <v>33</v>
      </c>
      <c r="P131" s="18"/>
      <c r="Q131" s="18" t="s">
        <v>33</v>
      </c>
    </row>
    <row r="132" spans="1:17" ht="12.75">
      <c r="A132">
        <f t="shared" si="3"/>
        <v>121</v>
      </c>
      <c r="B132" s="22">
        <v>35224</v>
      </c>
      <c r="C132" s="16" t="s">
        <v>246</v>
      </c>
      <c r="D132" s="18" t="s">
        <v>148</v>
      </c>
      <c r="E132" s="18" t="s">
        <v>469</v>
      </c>
      <c r="F132" s="23" t="s">
        <v>98</v>
      </c>
      <c r="G132" s="16" t="s">
        <v>99</v>
      </c>
      <c r="H132" s="18">
        <v>6</v>
      </c>
      <c r="I132" s="24">
        <v>0.07866898148148148</v>
      </c>
      <c r="J132" s="20">
        <v>0.014560185185185183</v>
      </c>
      <c r="K132" s="18"/>
      <c r="L132" s="24">
        <v>0.03961805555555555</v>
      </c>
      <c r="M132" s="24">
        <f t="shared" si="6"/>
        <v>0</v>
      </c>
      <c r="N132" s="24">
        <v>0.02449074074074074</v>
      </c>
      <c r="O132" s="16" t="s">
        <v>272</v>
      </c>
      <c r="P132" s="18"/>
      <c r="Q132" s="18"/>
    </row>
    <row r="133" spans="1:17" ht="12.75">
      <c r="A133">
        <f t="shared" si="3"/>
        <v>122</v>
      </c>
      <c r="B133" s="22">
        <v>35232</v>
      </c>
      <c r="C133" s="16" t="s">
        <v>282</v>
      </c>
      <c r="D133" s="18" t="s">
        <v>316</v>
      </c>
      <c r="E133" s="18" t="s">
        <v>469</v>
      </c>
      <c r="F133" s="23" t="s">
        <v>268</v>
      </c>
      <c r="G133" s="16" t="s">
        <v>537</v>
      </c>
      <c r="H133" s="18">
        <v>52</v>
      </c>
      <c r="I133" s="24">
        <v>0.04627314814814815</v>
      </c>
      <c r="J133" s="20">
        <v>0.011319444444444444</v>
      </c>
      <c r="K133" s="18"/>
      <c r="L133" s="24">
        <v>0.021006944444444443</v>
      </c>
      <c r="M133" s="24">
        <f t="shared" si="6"/>
        <v>0.0013541666666666667</v>
      </c>
      <c r="N133" s="24">
        <v>0.012592592592592593</v>
      </c>
      <c r="O133" s="16" t="s">
        <v>317</v>
      </c>
      <c r="P133" s="18"/>
      <c r="Q133" s="18" t="s">
        <v>318</v>
      </c>
    </row>
    <row r="134" spans="1:17" ht="12.75">
      <c r="A134">
        <f t="shared" si="3"/>
        <v>123</v>
      </c>
      <c r="B134" s="22">
        <v>35239</v>
      </c>
      <c r="C134" s="16" t="s">
        <v>283</v>
      </c>
      <c r="D134" s="18" t="s">
        <v>148</v>
      </c>
      <c r="E134" s="18" t="s">
        <v>469</v>
      </c>
      <c r="F134" s="23" t="s">
        <v>98</v>
      </c>
      <c r="G134" s="16" t="s">
        <v>285</v>
      </c>
      <c r="H134" s="18">
        <v>8</v>
      </c>
      <c r="I134" s="24">
        <v>0.08581018518518518</v>
      </c>
      <c r="J134" s="20">
        <v>0.014548611111111111</v>
      </c>
      <c r="K134" s="18"/>
      <c r="L134" s="24">
        <v>0.04802083333333334</v>
      </c>
      <c r="M134" s="24">
        <f t="shared" si="6"/>
        <v>0</v>
      </c>
      <c r="N134" s="24">
        <v>0.023240740740740742</v>
      </c>
      <c r="O134" s="18" t="s">
        <v>272</v>
      </c>
      <c r="P134" s="18"/>
      <c r="Q134" s="18"/>
    </row>
    <row r="135" spans="1:17" ht="12.75">
      <c r="A135">
        <f t="shared" si="3"/>
        <v>124</v>
      </c>
      <c r="B135" s="22">
        <v>35245</v>
      </c>
      <c r="C135" s="16" t="s">
        <v>286</v>
      </c>
      <c r="D135" s="18" t="s">
        <v>521</v>
      </c>
      <c r="E135" s="18" t="s">
        <v>469</v>
      </c>
      <c r="F135" s="23" t="s">
        <v>98</v>
      </c>
      <c r="G135" s="16" t="s">
        <v>287</v>
      </c>
      <c r="H135" s="18">
        <v>1</v>
      </c>
      <c r="I135" s="24">
        <v>0.07918981481481481</v>
      </c>
      <c r="J135" s="20">
        <v>0.014930555555555556</v>
      </c>
      <c r="K135" s="18"/>
      <c r="L135" s="24">
        <v>0.04224537037037037</v>
      </c>
      <c r="M135" s="24">
        <f t="shared" si="6"/>
        <v>0</v>
      </c>
      <c r="N135" s="24">
        <v>0.02201388888888889</v>
      </c>
      <c r="O135" s="18" t="s">
        <v>225</v>
      </c>
      <c r="P135" s="18"/>
      <c r="Q135" s="18"/>
    </row>
    <row r="136" spans="1:17" ht="12.75">
      <c r="A136">
        <f t="shared" si="3"/>
        <v>125</v>
      </c>
      <c r="B136" s="22">
        <v>35253</v>
      </c>
      <c r="C136" s="16" t="s">
        <v>288</v>
      </c>
      <c r="D136" s="18" t="s">
        <v>229</v>
      </c>
      <c r="E136" s="18" t="s">
        <v>469</v>
      </c>
      <c r="F136" s="23" t="s">
        <v>98</v>
      </c>
      <c r="G136" s="16" t="s">
        <v>289</v>
      </c>
      <c r="H136" s="18">
        <v>41</v>
      </c>
      <c r="I136" s="24">
        <v>0.07875</v>
      </c>
      <c r="J136" s="20">
        <v>0.015509259259259257</v>
      </c>
      <c r="K136" s="18"/>
      <c r="L136" s="24">
        <v>0.0370949074074074</v>
      </c>
      <c r="M136" s="24">
        <f t="shared" si="6"/>
        <v>0.001840277777777788</v>
      </c>
      <c r="N136" s="24">
        <v>0.024305555555555556</v>
      </c>
      <c r="O136" s="18" t="s">
        <v>230</v>
      </c>
      <c r="P136" s="18"/>
      <c r="Q136" s="18" t="s">
        <v>230</v>
      </c>
    </row>
    <row r="137" spans="1:17" ht="12.75">
      <c r="A137">
        <f t="shared" si="3"/>
        <v>126</v>
      </c>
      <c r="B137" s="22">
        <v>35267</v>
      </c>
      <c r="C137" s="16" t="s">
        <v>250</v>
      </c>
      <c r="D137" s="18" t="s">
        <v>521</v>
      </c>
      <c r="E137" s="18" t="s">
        <v>469</v>
      </c>
      <c r="F137" s="23" t="s">
        <v>98</v>
      </c>
      <c r="G137" s="16" t="s">
        <v>251</v>
      </c>
      <c r="H137" s="18">
        <v>3</v>
      </c>
      <c r="I137" s="24">
        <v>0.07810185185185185</v>
      </c>
      <c r="J137" s="20">
        <v>0.014166666666666666</v>
      </c>
      <c r="K137" s="18"/>
      <c r="L137" s="18"/>
      <c r="M137" s="18"/>
      <c r="N137" s="18"/>
      <c r="O137" s="18"/>
      <c r="P137" s="18"/>
      <c r="Q137" s="18"/>
    </row>
    <row r="138" spans="1:17" ht="12.75">
      <c r="A138">
        <f t="shared" si="3"/>
        <v>127</v>
      </c>
      <c r="B138" s="22">
        <v>35274</v>
      </c>
      <c r="C138" s="16" t="s">
        <v>290</v>
      </c>
      <c r="D138" s="18" t="s">
        <v>291</v>
      </c>
      <c r="E138" s="18" t="s">
        <v>448</v>
      </c>
      <c r="F138" s="16" t="s">
        <v>29</v>
      </c>
      <c r="G138" s="16" t="s">
        <v>62</v>
      </c>
      <c r="H138" s="18">
        <v>8</v>
      </c>
      <c r="I138" s="24">
        <v>0.06407407407407407</v>
      </c>
      <c r="J138" s="20">
        <v>0.017384259259259262</v>
      </c>
      <c r="K138" s="18"/>
      <c r="L138" s="24">
        <v>0.03787037037037037</v>
      </c>
      <c r="M138" s="24">
        <f>I138-N138-L138-J138</f>
        <v>0</v>
      </c>
      <c r="N138" s="20">
        <v>0.008819444444444444</v>
      </c>
      <c r="O138" s="16" t="s">
        <v>535</v>
      </c>
      <c r="P138" s="18"/>
      <c r="Q138" s="18"/>
    </row>
    <row r="139" spans="1:17" ht="12.75">
      <c r="A139">
        <f t="shared" si="3"/>
        <v>128</v>
      </c>
      <c r="B139" s="22">
        <v>35280</v>
      </c>
      <c r="C139" s="16" t="s">
        <v>203</v>
      </c>
      <c r="D139" s="18" t="s">
        <v>148</v>
      </c>
      <c r="E139" s="18" t="s">
        <v>469</v>
      </c>
      <c r="F139" s="23" t="s">
        <v>98</v>
      </c>
      <c r="G139" s="16" t="s">
        <v>284</v>
      </c>
      <c r="H139" s="18">
        <v>14</v>
      </c>
      <c r="I139" s="24">
        <v>0.09054398148148148</v>
      </c>
      <c r="J139" s="20"/>
      <c r="K139" s="18"/>
      <c r="L139" s="18"/>
      <c r="M139" s="18"/>
      <c r="N139" s="24">
        <v>0.026284722222222223</v>
      </c>
      <c r="O139" s="16" t="s">
        <v>275</v>
      </c>
      <c r="P139" s="18" t="s">
        <v>397</v>
      </c>
      <c r="Q139" s="18"/>
    </row>
    <row r="140" spans="1:17" ht="12.75">
      <c r="A140">
        <f aca="true" t="shared" si="7" ref="A140:A203">IF(B140=0,"",ROW(A129))</f>
        <v>129</v>
      </c>
      <c r="B140" s="22">
        <v>35287</v>
      </c>
      <c r="C140" s="16" t="s">
        <v>38</v>
      </c>
      <c r="D140" s="18" t="s">
        <v>521</v>
      </c>
      <c r="E140" s="18" t="s">
        <v>469</v>
      </c>
      <c r="F140" s="23" t="s">
        <v>172</v>
      </c>
      <c r="G140" s="18" t="s">
        <v>292</v>
      </c>
      <c r="H140" s="18">
        <v>1</v>
      </c>
      <c r="I140" s="24">
        <v>0.07607638888888889</v>
      </c>
      <c r="J140" s="20">
        <v>0.009398148148148149</v>
      </c>
      <c r="K140" s="18"/>
      <c r="L140" s="24">
        <v>0.04238425925925926</v>
      </c>
      <c r="M140" s="24">
        <v>0.0006481481481481481</v>
      </c>
      <c r="N140" s="24">
        <v>0.023645833333333335</v>
      </c>
      <c r="O140" s="18" t="s">
        <v>295</v>
      </c>
      <c r="P140" s="18"/>
      <c r="Q140" s="18"/>
    </row>
    <row r="141" spans="1:17" ht="12.75">
      <c r="A141">
        <f t="shared" si="7"/>
        <v>130</v>
      </c>
      <c r="B141" s="22">
        <v>35295</v>
      </c>
      <c r="C141" s="16" t="s">
        <v>293</v>
      </c>
      <c r="D141" s="18" t="s">
        <v>148</v>
      </c>
      <c r="E141" s="18" t="s">
        <v>469</v>
      </c>
      <c r="F141" s="23" t="s">
        <v>98</v>
      </c>
      <c r="G141" s="18" t="s">
        <v>294</v>
      </c>
      <c r="H141" s="18">
        <v>9</v>
      </c>
      <c r="I141" s="24">
        <v>0.07569444444444444</v>
      </c>
      <c r="J141" s="20"/>
      <c r="K141" s="18"/>
      <c r="L141" s="18"/>
      <c r="M141" s="18"/>
      <c r="N141" s="18"/>
      <c r="O141" s="18" t="s">
        <v>538</v>
      </c>
      <c r="P141" s="18" t="s">
        <v>539</v>
      </c>
      <c r="Q141" s="18"/>
    </row>
    <row r="142" spans="1:17" ht="12.75">
      <c r="A142">
        <f t="shared" si="7"/>
        <v>131</v>
      </c>
      <c r="B142" s="22">
        <v>35302</v>
      </c>
      <c r="C142" s="16" t="s">
        <v>296</v>
      </c>
      <c r="D142" s="18" t="s">
        <v>521</v>
      </c>
      <c r="E142" s="18" t="s">
        <v>469</v>
      </c>
      <c r="F142" s="23" t="s">
        <v>98</v>
      </c>
      <c r="G142" s="18" t="s">
        <v>297</v>
      </c>
      <c r="H142" s="18">
        <v>1</v>
      </c>
      <c r="I142" s="24">
        <v>0.0784837962962963</v>
      </c>
      <c r="J142" s="20">
        <v>0.014560185185185183</v>
      </c>
      <c r="K142" s="18"/>
      <c r="L142" s="24">
        <v>0.0390162037037037</v>
      </c>
      <c r="M142" s="24">
        <f>I142-N142-L142-J142</f>
        <v>0</v>
      </c>
      <c r="N142" s="24">
        <f>I142-J142-L142</f>
        <v>0.024907407407407413</v>
      </c>
      <c r="O142" s="18" t="s">
        <v>295</v>
      </c>
      <c r="P142" s="18"/>
      <c r="Q142" s="18"/>
    </row>
    <row r="143" spans="1:17" ht="12.75">
      <c r="A143">
        <f t="shared" si="7"/>
        <v>132</v>
      </c>
      <c r="B143" s="22">
        <v>35308</v>
      </c>
      <c r="C143" s="16" t="s">
        <v>133</v>
      </c>
      <c r="D143" s="18" t="s">
        <v>521</v>
      </c>
      <c r="E143" s="18" t="s">
        <v>469</v>
      </c>
      <c r="F143" s="23" t="s">
        <v>98</v>
      </c>
      <c r="G143" s="18" t="s">
        <v>99</v>
      </c>
      <c r="H143" s="18">
        <v>1</v>
      </c>
      <c r="I143" s="24">
        <v>0.07938657407407408</v>
      </c>
      <c r="J143" s="20">
        <v>0.015069444444444443</v>
      </c>
      <c r="K143" s="18"/>
      <c r="L143" s="24">
        <v>0.04047453703703704</v>
      </c>
      <c r="M143" s="24">
        <f>I143-N143-L143-J143</f>
        <v>0</v>
      </c>
      <c r="N143" s="24">
        <v>0.023842592592592596</v>
      </c>
      <c r="O143" s="18" t="s">
        <v>225</v>
      </c>
      <c r="P143" s="18"/>
      <c r="Q143" s="18"/>
    </row>
    <row r="144" spans="1:17" ht="12.75">
      <c r="A144">
        <f t="shared" si="7"/>
        <v>133</v>
      </c>
      <c r="B144" s="22">
        <v>35316</v>
      </c>
      <c r="C144" s="16" t="s">
        <v>25</v>
      </c>
      <c r="D144" s="18" t="s">
        <v>521</v>
      </c>
      <c r="E144" s="18" t="s">
        <v>469</v>
      </c>
      <c r="F144" s="23" t="s">
        <v>172</v>
      </c>
      <c r="G144" s="18" t="s">
        <v>157</v>
      </c>
      <c r="H144" s="18">
        <v>1</v>
      </c>
      <c r="I144" s="24">
        <v>0.07938657407407408</v>
      </c>
      <c r="J144" s="20">
        <f>I144-L144-N144</f>
        <v>0.010798611111111116</v>
      </c>
      <c r="K144" s="18"/>
      <c r="L144" s="24">
        <v>0.04289351851851852</v>
      </c>
      <c r="M144" s="24">
        <f>I144-N144-L144-J144</f>
        <v>0</v>
      </c>
      <c r="N144" s="24">
        <v>0.025694444444444447</v>
      </c>
      <c r="O144" s="16" t="s">
        <v>610</v>
      </c>
      <c r="P144" s="18"/>
      <c r="Q144" s="18"/>
    </row>
    <row r="145" spans="1:17" ht="12.75">
      <c r="A145">
        <f t="shared" si="7"/>
        <v>134</v>
      </c>
      <c r="B145" s="22">
        <v>35322</v>
      </c>
      <c r="C145" s="16" t="s">
        <v>298</v>
      </c>
      <c r="D145" s="18" t="s">
        <v>299</v>
      </c>
      <c r="E145" s="18" t="s">
        <v>448</v>
      </c>
      <c r="F145" s="16" t="s">
        <v>267</v>
      </c>
      <c r="G145" s="16" t="s">
        <v>300</v>
      </c>
      <c r="H145" s="18">
        <v>38</v>
      </c>
      <c r="I145" s="24">
        <v>0.06891203703703704</v>
      </c>
      <c r="J145" s="20">
        <v>0.020949074074074075</v>
      </c>
      <c r="K145" s="18"/>
      <c r="L145" s="24">
        <v>0.03725694444444445</v>
      </c>
      <c r="M145" s="24">
        <f>I145-N145-L145-J145</f>
        <v>0</v>
      </c>
      <c r="N145" s="20">
        <v>0.010706018518518517</v>
      </c>
      <c r="O145" s="18" t="s">
        <v>190</v>
      </c>
      <c r="P145" s="18"/>
      <c r="Q145" s="18" t="s">
        <v>190</v>
      </c>
    </row>
    <row r="146" spans="1:17" ht="12.75">
      <c r="A146">
        <f t="shared" si="7"/>
        <v>135</v>
      </c>
      <c r="B146" s="22">
        <v>35337</v>
      </c>
      <c r="C146" s="16" t="s">
        <v>188</v>
      </c>
      <c r="D146" s="18" t="s">
        <v>316</v>
      </c>
      <c r="E146" s="18" t="s">
        <v>469</v>
      </c>
      <c r="F146" s="23" t="s">
        <v>189</v>
      </c>
      <c r="G146" s="18" t="s">
        <v>260</v>
      </c>
      <c r="H146" s="18">
        <v>23</v>
      </c>
      <c r="I146" s="24">
        <v>0.2619560185185185</v>
      </c>
      <c r="J146" s="20">
        <v>0.03652777777777778</v>
      </c>
      <c r="K146" s="24">
        <v>0.001597222222222222</v>
      </c>
      <c r="L146" s="24">
        <v>0.13550925925925925</v>
      </c>
      <c r="M146" s="24">
        <v>0.0017592592592592592</v>
      </c>
      <c r="N146" s="24">
        <v>0.08655092592592593</v>
      </c>
      <c r="O146" s="18"/>
      <c r="P146" s="18"/>
      <c r="Q146" s="18"/>
    </row>
    <row r="147" spans="1:17" ht="12.75">
      <c r="A147">
        <f t="shared" si="7"/>
        <v>136</v>
      </c>
      <c r="B147" s="22">
        <v>35504</v>
      </c>
      <c r="C147" s="16" t="s">
        <v>220</v>
      </c>
      <c r="D147" s="18" t="s">
        <v>521</v>
      </c>
      <c r="E147" s="18" t="s">
        <v>448</v>
      </c>
      <c r="F147" s="16" t="s">
        <v>268</v>
      </c>
      <c r="G147" s="16" t="s">
        <v>422</v>
      </c>
      <c r="H147" s="18">
        <v>12</v>
      </c>
      <c r="I147" s="24">
        <v>0.03826388888888889</v>
      </c>
      <c r="J147" s="20"/>
      <c r="K147" s="18"/>
      <c r="L147" s="18"/>
      <c r="M147" s="18"/>
      <c r="N147" s="20"/>
      <c r="O147" s="18"/>
      <c r="P147" s="18"/>
      <c r="Q147" s="18"/>
    </row>
    <row r="148" spans="1:17" ht="12.75">
      <c r="A148">
        <f t="shared" si="7"/>
        <v>137</v>
      </c>
      <c r="B148" s="22">
        <v>35519</v>
      </c>
      <c r="C148" s="16" t="s">
        <v>301</v>
      </c>
      <c r="D148" s="18" t="s">
        <v>521</v>
      </c>
      <c r="E148" s="18" t="s">
        <v>448</v>
      </c>
      <c r="F148" s="16" t="s">
        <v>267</v>
      </c>
      <c r="G148" s="16" t="s">
        <v>205</v>
      </c>
      <c r="H148" s="18">
        <v>6</v>
      </c>
      <c r="I148" s="24">
        <v>0.07563657407407408</v>
      </c>
      <c r="J148" s="20"/>
      <c r="K148" s="18"/>
      <c r="L148" s="18"/>
      <c r="M148" s="18"/>
      <c r="N148" s="20"/>
      <c r="O148" s="18"/>
      <c r="P148" s="18"/>
      <c r="Q148" s="18"/>
    </row>
    <row r="149" spans="1:17" ht="12.75">
      <c r="A149">
        <f t="shared" si="7"/>
        <v>138</v>
      </c>
      <c r="B149" s="22">
        <v>35533</v>
      </c>
      <c r="C149" s="16" t="s">
        <v>140</v>
      </c>
      <c r="D149" s="18" t="s">
        <v>521</v>
      </c>
      <c r="E149" s="18" t="s">
        <v>448</v>
      </c>
      <c r="F149" s="16" t="s">
        <v>267</v>
      </c>
      <c r="G149" s="16" t="s">
        <v>205</v>
      </c>
      <c r="H149" s="18">
        <v>5</v>
      </c>
      <c r="I149" s="24">
        <v>0.0756712962962963</v>
      </c>
      <c r="J149" s="20">
        <v>0.02326388888888889</v>
      </c>
      <c r="K149" s="24"/>
      <c r="L149" s="5">
        <v>0.04128472222222222</v>
      </c>
      <c r="M149" s="24">
        <f>I149-N149-L149-J149</f>
        <v>1.157407407408051E-05</v>
      </c>
      <c r="N149" s="20">
        <v>0.011111111111111112</v>
      </c>
      <c r="O149" s="65" t="s">
        <v>302</v>
      </c>
      <c r="P149" s="18"/>
      <c r="Q149" s="18" t="s">
        <v>33</v>
      </c>
    </row>
    <row r="150" spans="1:17" ht="12.75">
      <c r="A150">
        <f t="shared" si="7"/>
        <v>139</v>
      </c>
      <c r="B150" s="22">
        <v>35540</v>
      </c>
      <c r="C150" s="16" t="s">
        <v>303</v>
      </c>
      <c r="D150" s="18" t="s">
        <v>304</v>
      </c>
      <c r="E150" s="18" t="s">
        <v>469</v>
      </c>
      <c r="F150" s="23" t="s">
        <v>189</v>
      </c>
      <c r="G150" s="16" t="s">
        <v>260</v>
      </c>
      <c r="H150" s="18">
        <v>2</v>
      </c>
      <c r="I150" s="24">
        <v>0.2487384259259259</v>
      </c>
      <c r="J150" s="20">
        <v>0.02646990740740741</v>
      </c>
      <c r="K150" s="18"/>
      <c r="L150" s="24">
        <v>0.12219907407407408</v>
      </c>
      <c r="M150" s="24">
        <f>I150-N150-L150-J150</f>
        <v>0.0014814814814814482</v>
      </c>
      <c r="N150" s="24">
        <v>0.09858796296296296</v>
      </c>
      <c r="O150" s="18"/>
      <c r="P150" s="18"/>
      <c r="Q150" s="18"/>
    </row>
    <row r="151" spans="1:17" ht="12.75">
      <c r="A151">
        <f t="shared" si="7"/>
        <v>140</v>
      </c>
      <c r="B151" s="22">
        <v>35566</v>
      </c>
      <c r="C151" s="16" t="s">
        <v>305</v>
      </c>
      <c r="D151" s="18" t="s">
        <v>306</v>
      </c>
      <c r="E151" s="18" t="s">
        <v>448</v>
      </c>
      <c r="F151" s="16" t="s">
        <v>268</v>
      </c>
      <c r="G151" s="16" t="s">
        <v>422</v>
      </c>
      <c r="H151" s="18">
        <v>21</v>
      </c>
      <c r="I151" s="32">
        <v>0.038113425925925926</v>
      </c>
      <c r="L151" s="32"/>
      <c r="M151" s="18"/>
      <c r="N151" s="20"/>
      <c r="O151" s="18" t="s">
        <v>307</v>
      </c>
      <c r="P151" s="18"/>
      <c r="Q151" s="18"/>
    </row>
    <row r="152" spans="1:17" ht="12.75">
      <c r="A152">
        <f t="shared" si="7"/>
        <v>141</v>
      </c>
      <c r="B152" s="22">
        <v>35568</v>
      </c>
      <c r="C152" s="16" t="s">
        <v>305</v>
      </c>
      <c r="D152" s="18" t="s">
        <v>306</v>
      </c>
      <c r="E152" s="18" t="s">
        <v>448</v>
      </c>
      <c r="F152" s="16" t="s">
        <v>267</v>
      </c>
      <c r="G152" s="16" t="s">
        <v>205</v>
      </c>
      <c r="H152" s="18">
        <v>30</v>
      </c>
      <c r="I152" s="24">
        <v>0.08033564814814814</v>
      </c>
      <c r="J152" s="20"/>
      <c r="K152" s="18"/>
      <c r="L152" s="18"/>
      <c r="M152" s="18"/>
      <c r="N152" s="20"/>
      <c r="O152" s="18" t="s">
        <v>313</v>
      </c>
      <c r="P152" s="18"/>
      <c r="Q152" s="18" t="s">
        <v>230</v>
      </c>
    </row>
    <row r="153" spans="1:17" ht="12.75">
      <c r="A153">
        <f t="shared" si="7"/>
        <v>142</v>
      </c>
      <c r="B153" s="22">
        <v>35575</v>
      </c>
      <c r="C153" s="16" t="s">
        <v>89</v>
      </c>
      <c r="D153" s="18" t="s">
        <v>521</v>
      </c>
      <c r="E153" s="18" t="s">
        <v>469</v>
      </c>
      <c r="F153" s="23" t="s">
        <v>98</v>
      </c>
      <c r="G153" s="16" t="s">
        <v>99</v>
      </c>
      <c r="H153" s="18">
        <v>26</v>
      </c>
      <c r="I153" s="24">
        <v>0.07747685185185185</v>
      </c>
      <c r="J153" s="20">
        <v>0.012199074074074072</v>
      </c>
      <c r="K153" s="18"/>
      <c r="L153" s="24">
        <v>0.04172453703703704</v>
      </c>
      <c r="M153" s="24">
        <f>I153-N153-L153-J153</f>
        <v>0</v>
      </c>
      <c r="N153" s="24">
        <v>0.02355324074074074</v>
      </c>
      <c r="O153" s="18" t="s">
        <v>48</v>
      </c>
      <c r="P153" s="18"/>
      <c r="Q153" s="18"/>
    </row>
    <row r="154" spans="1:17" ht="12.75">
      <c r="A154">
        <f t="shared" si="7"/>
        <v>143</v>
      </c>
      <c r="B154" s="22">
        <v>35589</v>
      </c>
      <c r="C154" s="16" t="s">
        <v>308</v>
      </c>
      <c r="D154" s="18" t="s">
        <v>521</v>
      </c>
      <c r="E154" s="18" t="s">
        <v>469</v>
      </c>
      <c r="F154" s="23" t="s">
        <v>98</v>
      </c>
      <c r="G154" s="16" t="s">
        <v>99</v>
      </c>
      <c r="H154" s="18">
        <v>1</v>
      </c>
      <c r="I154" s="24">
        <v>0.08034722222222222</v>
      </c>
      <c r="J154" s="20">
        <v>0.013680555555555555</v>
      </c>
      <c r="K154" s="18"/>
      <c r="L154" s="24">
        <v>0.04128472222222222</v>
      </c>
      <c r="M154" s="24">
        <f>I154-N154-L154-J154</f>
        <v>1.1574074074082244E-05</v>
      </c>
      <c r="N154" s="24">
        <v>0.025370370370370366</v>
      </c>
      <c r="O154" s="18" t="s">
        <v>225</v>
      </c>
      <c r="P154" s="18"/>
      <c r="Q154" s="18"/>
    </row>
    <row r="155" spans="1:17" ht="12.75">
      <c r="A155">
        <f t="shared" si="7"/>
        <v>144</v>
      </c>
      <c r="B155" s="22">
        <v>35595</v>
      </c>
      <c r="C155" s="16" t="s">
        <v>277</v>
      </c>
      <c r="D155" s="18" t="s">
        <v>521</v>
      </c>
      <c r="E155" s="18" t="s">
        <v>469</v>
      </c>
      <c r="F155" s="23" t="s">
        <v>98</v>
      </c>
      <c r="G155" s="16" t="s">
        <v>99</v>
      </c>
      <c r="H155" s="18">
        <v>9</v>
      </c>
      <c r="I155" s="24">
        <v>0.07476851851851851</v>
      </c>
      <c r="J155" s="20"/>
      <c r="K155" s="18"/>
      <c r="L155" s="24"/>
      <c r="M155" s="18"/>
      <c r="N155" s="24"/>
      <c r="O155" s="18" t="s">
        <v>309</v>
      </c>
      <c r="P155" s="18" t="s">
        <v>397</v>
      </c>
      <c r="Q155" s="18" t="s">
        <v>33</v>
      </c>
    </row>
    <row r="156" spans="1:17" ht="12.75">
      <c r="A156">
        <f t="shared" si="7"/>
        <v>145</v>
      </c>
      <c r="B156" s="22">
        <v>35611</v>
      </c>
      <c r="C156" s="16" t="s">
        <v>90</v>
      </c>
      <c r="D156" s="18" t="s">
        <v>521</v>
      </c>
      <c r="E156" s="18" t="s">
        <v>469</v>
      </c>
      <c r="F156" s="23" t="s">
        <v>98</v>
      </c>
      <c r="G156" s="16" t="s">
        <v>99</v>
      </c>
      <c r="H156" s="18">
        <v>2</v>
      </c>
      <c r="I156" s="24">
        <v>0.07701388888888888</v>
      </c>
      <c r="J156" s="20">
        <v>0.013402777777777777</v>
      </c>
      <c r="K156" s="24"/>
      <c r="L156" s="24">
        <v>0.040532407407407406</v>
      </c>
      <c r="M156" s="24">
        <f>I156-N156-L156-J156</f>
        <v>0</v>
      </c>
      <c r="N156" s="24">
        <v>0.023078703703703702</v>
      </c>
      <c r="O156" s="18" t="s">
        <v>48</v>
      </c>
      <c r="P156" s="18"/>
      <c r="Q156" s="18"/>
    </row>
    <row r="157" spans="1:17" ht="12.75">
      <c r="A157">
        <f t="shared" si="7"/>
        <v>146</v>
      </c>
      <c r="B157" s="22">
        <v>35616</v>
      </c>
      <c r="C157" s="16" t="s">
        <v>310</v>
      </c>
      <c r="D157" s="18" t="s">
        <v>311</v>
      </c>
      <c r="E157" s="18" t="s">
        <v>469</v>
      </c>
      <c r="F157" s="23" t="s">
        <v>268</v>
      </c>
      <c r="G157" s="16" t="s">
        <v>335</v>
      </c>
      <c r="H157" s="18">
        <v>18</v>
      </c>
      <c r="I157" s="24">
        <v>0.044409722222222225</v>
      </c>
      <c r="J157" s="20">
        <v>0.006805555555555557</v>
      </c>
      <c r="K157" s="18"/>
      <c r="L157" s="24">
        <v>0.02351851851851852</v>
      </c>
      <c r="M157" s="24">
        <f>I157-N157-L157-J157</f>
        <v>0.0017592592592592634</v>
      </c>
      <c r="N157" s="24">
        <v>0.012326388888888888</v>
      </c>
      <c r="O157" s="18" t="s">
        <v>312</v>
      </c>
      <c r="P157" s="18"/>
      <c r="Q157" s="18"/>
    </row>
    <row r="158" spans="1:17" ht="12.75">
      <c r="A158">
        <f t="shared" si="7"/>
        <v>147</v>
      </c>
      <c r="B158" s="22">
        <v>35618</v>
      </c>
      <c r="C158" s="16" t="s">
        <v>310</v>
      </c>
      <c r="D158" s="18" t="s">
        <v>311</v>
      </c>
      <c r="E158" s="18" t="s">
        <v>469</v>
      </c>
      <c r="F158" s="23" t="s">
        <v>98</v>
      </c>
      <c r="G158" s="16" t="s">
        <v>99</v>
      </c>
      <c r="H158" s="18">
        <v>13</v>
      </c>
      <c r="I158" s="24">
        <v>0.08516203703703705</v>
      </c>
      <c r="J158" s="20">
        <v>0.013460648148148147</v>
      </c>
      <c r="K158" s="18"/>
      <c r="L158" s="24">
        <v>0.046307870370370374</v>
      </c>
      <c r="M158" s="24">
        <f>I158-N158-L158-J158</f>
        <v>0.0018287037037037126</v>
      </c>
      <c r="N158" s="24">
        <v>0.023564814814814813</v>
      </c>
      <c r="O158" s="18" t="s">
        <v>313</v>
      </c>
      <c r="P158" s="18"/>
      <c r="Q158" s="18" t="s">
        <v>230</v>
      </c>
    </row>
    <row r="159" spans="1:17" ht="12.75">
      <c r="A159">
        <f t="shared" si="7"/>
        <v>148</v>
      </c>
      <c r="B159" s="22">
        <v>35625</v>
      </c>
      <c r="C159" s="16" t="s">
        <v>250</v>
      </c>
      <c r="D159" s="18" t="s">
        <v>521</v>
      </c>
      <c r="E159" s="18" t="s">
        <v>469</v>
      </c>
      <c r="F159" s="23" t="s">
        <v>98</v>
      </c>
      <c r="G159" s="16" t="s">
        <v>99</v>
      </c>
      <c r="H159" s="18">
        <v>1</v>
      </c>
      <c r="I159" s="24">
        <v>0.0785300925925926</v>
      </c>
      <c r="J159" s="20"/>
      <c r="K159" s="18"/>
      <c r="L159" s="24"/>
      <c r="M159" s="18"/>
      <c r="N159" s="24"/>
      <c r="O159" s="18"/>
      <c r="P159" s="18" t="s">
        <v>397</v>
      </c>
      <c r="Q159" s="18"/>
    </row>
    <row r="160" spans="1:17" ht="12.75">
      <c r="A160">
        <f t="shared" si="7"/>
        <v>149</v>
      </c>
      <c r="B160" s="22">
        <v>35638</v>
      </c>
      <c r="C160" s="16" t="s">
        <v>290</v>
      </c>
      <c r="D160" s="18" t="s">
        <v>291</v>
      </c>
      <c r="E160" s="18" t="s">
        <v>448</v>
      </c>
      <c r="F160" s="16" t="s">
        <v>29</v>
      </c>
      <c r="G160" s="16" t="s">
        <v>513</v>
      </c>
      <c r="H160" s="18">
        <v>10</v>
      </c>
      <c r="I160" s="24">
        <v>0.06571759259259259</v>
      </c>
      <c r="J160" s="20">
        <v>0.017280092592592593</v>
      </c>
      <c r="K160" s="18"/>
      <c r="L160" s="24">
        <v>0.03958333333333333</v>
      </c>
      <c r="M160" s="24">
        <f>I160-N160-L160-J160</f>
        <v>0</v>
      </c>
      <c r="N160" s="20">
        <v>0.008854166666666666</v>
      </c>
      <c r="O160" s="16" t="s">
        <v>514</v>
      </c>
      <c r="P160" s="18"/>
      <c r="Q160" s="18"/>
    </row>
    <row r="161" spans="1:17" ht="12.75">
      <c r="A161">
        <f t="shared" si="7"/>
        <v>150</v>
      </c>
      <c r="B161" s="22">
        <v>35644</v>
      </c>
      <c r="C161" s="16" t="s">
        <v>314</v>
      </c>
      <c r="D161" s="18" t="s">
        <v>148</v>
      </c>
      <c r="E161" s="18" t="s">
        <v>469</v>
      </c>
      <c r="F161" s="23" t="s">
        <v>98</v>
      </c>
      <c r="G161" s="16" t="s">
        <v>99</v>
      </c>
      <c r="H161" s="18">
        <v>1</v>
      </c>
      <c r="I161" s="24">
        <v>0.07694444444444444</v>
      </c>
      <c r="J161" s="20">
        <v>0.013020833333333334</v>
      </c>
      <c r="K161" s="18"/>
      <c r="L161" s="24">
        <v>0.04085648148148149</v>
      </c>
      <c r="M161" s="24">
        <f>I161-N161-L161-J161</f>
        <v>0</v>
      </c>
      <c r="N161" s="24">
        <v>0.023067129629629632</v>
      </c>
      <c r="O161" s="18" t="s">
        <v>272</v>
      </c>
      <c r="P161" s="18"/>
      <c r="Q161" s="18"/>
    </row>
    <row r="162" spans="1:17" ht="12.75">
      <c r="A162">
        <f t="shared" si="7"/>
        <v>151</v>
      </c>
      <c r="B162" s="22">
        <v>35651</v>
      </c>
      <c r="C162" s="16" t="s">
        <v>38</v>
      </c>
      <c r="D162" s="18" t="s">
        <v>521</v>
      </c>
      <c r="E162" s="18" t="s">
        <v>469</v>
      </c>
      <c r="F162" s="23" t="s">
        <v>98</v>
      </c>
      <c r="G162" s="16" t="s">
        <v>99</v>
      </c>
      <c r="H162" s="18">
        <v>1</v>
      </c>
      <c r="I162" s="24">
        <v>0.07644675925925926</v>
      </c>
      <c r="J162" s="20">
        <v>0.01318287037037037</v>
      </c>
      <c r="K162" s="18"/>
      <c r="L162" s="24">
        <v>0.03928240740740741</v>
      </c>
      <c r="M162" s="24">
        <v>0.0003935185185185185</v>
      </c>
      <c r="N162" s="24">
        <v>0.023587962962962963</v>
      </c>
      <c r="O162" s="18" t="s">
        <v>48</v>
      </c>
      <c r="P162" s="18"/>
      <c r="Q162" s="18"/>
    </row>
    <row r="163" spans="1:17" ht="12.75">
      <c r="A163">
        <f t="shared" si="7"/>
        <v>152</v>
      </c>
      <c r="B163" s="22">
        <v>35657</v>
      </c>
      <c r="C163" s="16" t="s">
        <v>315</v>
      </c>
      <c r="D163" s="18" t="s">
        <v>316</v>
      </c>
      <c r="E163" s="18" t="s">
        <v>469</v>
      </c>
      <c r="F163" s="23" t="s">
        <v>98</v>
      </c>
      <c r="G163" s="18" t="s">
        <v>193</v>
      </c>
      <c r="H163" s="18">
        <v>13</v>
      </c>
      <c r="I163" s="24">
        <v>0.08902777777777778</v>
      </c>
      <c r="J163" s="20">
        <v>0.014479166666666668</v>
      </c>
      <c r="K163" s="18"/>
      <c r="L163" s="24">
        <v>0.05040509259259259</v>
      </c>
      <c r="M163" s="24">
        <f>I163-N163-L163-J163</f>
        <v>0</v>
      </c>
      <c r="N163" s="24">
        <v>0.02414351851851852</v>
      </c>
      <c r="O163" s="18" t="s">
        <v>317</v>
      </c>
      <c r="P163" s="18"/>
      <c r="Q163" s="18" t="s">
        <v>318</v>
      </c>
    </row>
    <row r="164" spans="1:17" ht="12.75">
      <c r="A164">
        <f t="shared" si="7"/>
        <v>153</v>
      </c>
      <c r="B164" s="22">
        <v>35660</v>
      </c>
      <c r="C164" s="16" t="s">
        <v>246</v>
      </c>
      <c r="D164" s="18" t="s">
        <v>148</v>
      </c>
      <c r="E164" s="18" t="s">
        <v>469</v>
      </c>
      <c r="F164" s="23" t="s">
        <v>98</v>
      </c>
      <c r="G164" s="16" t="s">
        <v>99</v>
      </c>
      <c r="H164" s="18">
        <v>2</v>
      </c>
      <c r="I164" s="24">
        <v>0.08871527777777778</v>
      </c>
      <c r="J164" s="20">
        <v>0.013414351851851851</v>
      </c>
      <c r="K164" s="18"/>
      <c r="L164" s="24">
        <v>0.04784722222222223</v>
      </c>
      <c r="M164" s="24">
        <f>I164-N164-L164-J164</f>
        <v>1.1574074074066631E-05</v>
      </c>
      <c r="N164" s="24">
        <v>0.027442129629629632</v>
      </c>
      <c r="O164" s="18" t="s">
        <v>272</v>
      </c>
      <c r="P164" s="18"/>
      <c r="Q164" s="18"/>
    </row>
    <row r="165" spans="1:17" ht="12.75">
      <c r="A165">
        <f t="shared" si="7"/>
        <v>154</v>
      </c>
      <c r="B165" s="22">
        <v>35672</v>
      </c>
      <c r="C165" s="16" t="s">
        <v>133</v>
      </c>
      <c r="D165" s="18" t="s">
        <v>521</v>
      </c>
      <c r="E165" s="18" t="s">
        <v>448</v>
      </c>
      <c r="F165" s="23" t="s">
        <v>267</v>
      </c>
      <c r="G165" s="16" t="s">
        <v>205</v>
      </c>
      <c r="H165" s="18">
        <v>1</v>
      </c>
      <c r="I165" s="24">
        <v>0.07607638888888889</v>
      </c>
      <c r="J165" s="20">
        <v>0.022569444444444444</v>
      </c>
      <c r="K165" s="18"/>
      <c r="L165" s="24">
        <v>0.04168981481481482</v>
      </c>
      <c r="M165" s="24">
        <f>I165-N165-L165-J165</f>
        <v>0</v>
      </c>
      <c r="N165" s="24">
        <v>0.011817129629629629</v>
      </c>
      <c r="O165" s="18" t="s">
        <v>225</v>
      </c>
      <c r="P165" s="18"/>
      <c r="Q165" s="18"/>
    </row>
    <row r="166" spans="1:17" ht="12.75">
      <c r="A166">
        <f t="shared" si="7"/>
        <v>155</v>
      </c>
      <c r="B166" s="22">
        <v>35681</v>
      </c>
      <c r="C166" s="16" t="s">
        <v>25</v>
      </c>
      <c r="D166" s="18" t="s">
        <v>521</v>
      </c>
      <c r="E166" s="18" t="s">
        <v>469</v>
      </c>
      <c r="F166" s="23" t="s">
        <v>172</v>
      </c>
      <c r="G166" s="16" t="s">
        <v>63</v>
      </c>
      <c r="H166" s="18">
        <v>1</v>
      </c>
      <c r="I166" s="24">
        <v>0.07831018518518519</v>
      </c>
      <c r="J166" s="20">
        <v>0.010162037037037037</v>
      </c>
      <c r="K166" s="18"/>
      <c r="L166" s="24">
        <v>0.04415509259259259</v>
      </c>
      <c r="M166" s="24">
        <f>I166-N166-L166-J166</f>
        <v>0</v>
      </c>
      <c r="N166" s="24">
        <v>0.023993055555555556</v>
      </c>
      <c r="O166" s="16" t="s">
        <v>610</v>
      </c>
      <c r="P166" s="18"/>
      <c r="Q166" s="18"/>
    </row>
    <row r="167" spans="1:17" ht="12.75">
      <c r="A167">
        <f t="shared" si="7"/>
        <v>156</v>
      </c>
      <c r="B167" s="22">
        <v>35688</v>
      </c>
      <c r="C167" s="16" t="s">
        <v>320</v>
      </c>
      <c r="D167" s="18" t="s">
        <v>266</v>
      </c>
      <c r="E167" s="18" t="s">
        <v>448</v>
      </c>
      <c r="F167" s="16" t="s">
        <v>267</v>
      </c>
      <c r="G167" s="16" t="s">
        <v>205</v>
      </c>
      <c r="H167" s="18">
        <v>27</v>
      </c>
      <c r="I167" s="24">
        <v>0.07869212962962963</v>
      </c>
      <c r="J167" s="20">
        <v>0.02291666666666667</v>
      </c>
      <c r="K167" s="24">
        <v>0.0004976851851851852</v>
      </c>
      <c r="L167" s="24">
        <v>0.043333333333333335</v>
      </c>
      <c r="M167" s="24">
        <v>0.0005092592592592592</v>
      </c>
      <c r="N167" s="20">
        <v>0.011423611111111112</v>
      </c>
      <c r="O167" s="18" t="s">
        <v>190</v>
      </c>
      <c r="P167" s="18"/>
      <c r="Q167" s="18" t="s">
        <v>190</v>
      </c>
    </row>
    <row r="168" spans="1:17" ht="12.75">
      <c r="A168">
        <f t="shared" si="7"/>
        <v>157</v>
      </c>
      <c r="B168" s="22">
        <v>35703</v>
      </c>
      <c r="C168" s="16" t="s">
        <v>34</v>
      </c>
      <c r="D168" s="18" t="s">
        <v>521</v>
      </c>
      <c r="E168" s="18" t="s">
        <v>448</v>
      </c>
      <c r="F168" s="16" t="s">
        <v>267</v>
      </c>
      <c r="G168" s="16" t="s">
        <v>205</v>
      </c>
      <c r="H168" s="18">
        <v>6</v>
      </c>
      <c r="I168" s="24">
        <v>0.07142361111111112</v>
      </c>
      <c r="J168" s="20"/>
      <c r="K168" s="18"/>
      <c r="L168" s="18"/>
      <c r="M168" s="18"/>
      <c r="N168" s="20"/>
      <c r="O168" s="16" t="s">
        <v>225</v>
      </c>
      <c r="P168" s="18" t="s">
        <v>397</v>
      </c>
      <c r="Q168" s="18"/>
    </row>
    <row r="169" spans="1:17" ht="12.75">
      <c r="A169">
        <f t="shared" si="7"/>
        <v>158</v>
      </c>
      <c r="B169" s="22">
        <v>35883</v>
      </c>
      <c r="C169" s="16" t="s">
        <v>301</v>
      </c>
      <c r="D169" s="18" t="s">
        <v>521</v>
      </c>
      <c r="E169" s="18" t="s">
        <v>448</v>
      </c>
      <c r="F169" s="16" t="s">
        <v>267</v>
      </c>
      <c r="G169" s="16" t="s">
        <v>205</v>
      </c>
      <c r="H169" s="18">
        <v>7</v>
      </c>
      <c r="I169" s="24">
        <v>0.07210648148148148</v>
      </c>
      <c r="J169" s="20"/>
      <c r="K169" s="18"/>
      <c r="L169" s="18"/>
      <c r="M169" s="18"/>
      <c r="N169" s="20"/>
      <c r="O169" s="18"/>
      <c r="P169" s="18" t="s">
        <v>397</v>
      </c>
      <c r="Q169" s="18"/>
    </row>
    <row r="170" spans="1:17" ht="12.75">
      <c r="A170">
        <f t="shared" si="7"/>
        <v>159</v>
      </c>
      <c r="B170" s="22">
        <v>35918</v>
      </c>
      <c r="C170" s="16" t="s">
        <v>518</v>
      </c>
      <c r="D170" s="18" t="s">
        <v>359</v>
      </c>
      <c r="E170" s="18" t="s">
        <v>469</v>
      </c>
      <c r="F170" s="23" t="s">
        <v>462</v>
      </c>
      <c r="G170" s="18" t="s">
        <v>461</v>
      </c>
      <c r="H170" s="18">
        <v>16</v>
      </c>
      <c r="I170" s="24">
        <v>0.11440972222222223</v>
      </c>
      <c r="J170" s="20">
        <v>0.01851851851851852</v>
      </c>
      <c r="K170" s="18"/>
      <c r="L170" s="24">
        <v>0.06315972222222223</v>
      </c>
      <c r="M170" s="18"/>
      <c r="N170" s="24">
        <v>0.03273148148148148</v>
      </c>
      <c r="O170" s="18"/>
      <c r="P170" s="18"/>
      <c r="Q170" s="18"/>
    </row>
    <row r="171" spans="1:17" ht="12.75">
      <c r="A171">
        <f t="shared" si="7"/>
        <v>160</v>
      </c>
      <c r="B171" s="22">
        <v>35925</v>
      </c>
      <c r="C171" s="16" t="s">
        <v>322</v>
      </c>
      <c r="D171" s="18" t="s">
        <v>323</v>
      </c>
      <c r="E171" s="18" t="s">
        <v>469</v>
      </c>
      <c r="F171" s="23" t="s">
        <v>98</v>
      </c>
      <c r="G171" s="16" t="s">
        <v>99</v>
      </c>
      <c r="H171" s="18">
        <v>13</v>
      </c>
      <c r="I171" s="24">
        <v>0.09761574074074074</v>
      </c>
      <c r="J171" s="20">
        <v>0.015300925925925926</v>
      </c>
      <c r="K171" s="24">
        <v>0.00048611111111111104</v>
      </c>
      <c r="L171" s="24">
        <v>0.05221064814814815</v>
      </c>
      <c r="M171" s="24">
        <v>0.0003356481481481481</v>
      </c>
      <c r="N171" s="24">
        <v>0.02925925925925926</v>
      </c>
      <c r="O171" s="18" t="s">
        <v>328</v>
      </c>
      <c r="P171" s="18"/>
      <c r="Q171" s="18"/>
    </row>
    <row r="172" spans="1:17" ht="12.75">
      <c r="A172">
        <f t="shared" si="7"/>
        <v>161</v>
      </c>
      <c r="B172" s="22">
        <v>35939</v>
      </c>
      <c r="C172" s="16" t="s">
        <v>89</v>
      </c>
      <c r="D172" s="18" t="s">
        <v>521</v>
      </c>
      <c r="E172" s="18" t="s">
        <v>469</v>
      </c>
      <c r="F172" s="23" t="s">
        <v>98</v>
      </c>
      <c r="G172" s="16" t="s">
        <v>99</v>
      </c>
      <c r="H172" s="18">
        <v>6</v>
      </c>
      <c r="I172" s="24">
        <v>0.07865740740740741</v>
      </c>
      <c r="J172" s="20">
        <v>0.01275462962962963</v>
      </c>
      <c r="K172" s="18"/>
      <c r="L172" s="24">
        <v>0.042916666666666665</v>
      </c>
      <c r="M172" s="18"/>
      <c r="N172" s="24">
        <v>0.02298611111111111</v>
      </c>
      <c r="O172" s="18" t="s">
        <v>48</v>
      </c>
      <c r="P172" s="18"/>
      <c r="Q172" s="18"/>
    </row>
    <row r="173" spans="1:17" ht="12.75">
      <c r="A173">
        <f t="shared" si="7"/>
        <v>162</v>
      </c>
      <c r="B173" s="22">
        <v>35946</v>
      </c>
      <c r="C173" s="16" t="s">
        <v>324</v>
      </c>
      <c r="D173" s="18" t="s">
        <v>299</v>
      </c>
      <c r="E173" s="18" t="s">
        <v>469</v>
      </c>
      <c r="F173" s="23" t="s">
        <v>98</v>
      </c>
      <c r="G173" s="16" t="s">
        <v>99</v>
      </c>
      <c r="H173" s="18">
        <v>34</v>
      </c>
      <c r="I173" s="24">
        <v>0.07021990740740741</v>
      </c>
      <c r="J173" s="20"/>
      <c r="K173" s="18"/>
      <c r="L173" s="24"/>
      <c r="M173" s="18"/>
      <c r="N173" s="24"/>
      <c r="O173" s="18" t="s">
        <v>328</v>
      </c>
      <c r="P173" s="18" t="s">
        <v>520</v>
      </c>
      <c r="Q173" s="18"/>
    </row>
    <row r="174" spans="1:17" ht="12.75">
      <c r="A174">
        <f t="shared" si="7"/>
        <v>163</v>
      </c>
      <c r="B174" s="22">
        <v>35952</v>
      </c>
      <c r="C174" s="16" t="s">
        <v>325</v>
      </c>
      <c r="D174" s="18" t="s">
        <v>299</v>
      </c>
      <c r="E174" s="18" t="s">
        <v>469</v>
      </c>
      <c r="F174" s="23" t="s">
        <v>98</v>
      </c>
      <c r="G174" s="16" t="s">
        <v>99</v>
      </c>
      <c r="H174" s="18">
        <v>23</v>
      </c>
      <c r="I174" s="24">
        <v>0.07907407407407407</v>
      </c>
      <c r="J174" s="20"/>
      <c r="K174" s="18"/>
      <c r="L174" s="24"/>
      <c r="M174" s="18"/>
      <c r="N174" s="24"/>
      <c r="O174" s="18" t="s">
        <v>328</v>
      </c>
      <c r="P174" s="18" t="s">
        <v>520</v>
      </c>
      <c r="Q174" s="18"/>
    </row>
    <row r="175" spans="1:17" ht="12.75">
      <c r="A175">
        <f t="shared" si="7"/>
        <v>164</v>
      </c>
      <c r="B175" s="22">
        <v>35967</v>
      </c>
      <c r="C175" s="16" t="s">
        <v>326</v>
      </c>
      <c r="D175" s="18" t="s">
        <v>327</v>
      </c>
      <c r="E175" s="18" t="s">
        <v>469</v>
      </c>
      <c r="F175" s="23" t="s">
        <v>98</v>
      </c>
      <c r="G175" s="16" t="s">
        <v>99</v>
      </c>
      <c r="H175" s="18">
        <v>33</v>
      </c>
      <c r="I175" s="24">
        <v>0.07513888888888888</v>
      </c>
      <c r="J175" s="20"/>
      <c r="K175" s="18"/>
      <c r="L175" s="24"/>
      <c r="M175" s="18"/>
      <c r="N175" s="24"/>
      <c r="O175" s="18" t="s">
        <v>317</v>
      </c>
      <c r="P175" s="18" t="s">
        <v>520</v>
      </c>
      <c r="Q175" s="18" t="s">
        <v>318</v>
      </c>
    </row>
    <row r="176" spans="1:17" ht="12.75">
      <c r="A176">
        <f t="shared" si="7"/>
        <v>165</v>
      </c>
      <c r="B176" s="22">
        <v>35974</v>
      </c>
      <c r="C176" s="16" t="s">
        <v>90</v>
      </c>
      <c r="D176" s="18" t="s">
        <v>521</v>
      </c>
      <c r="E176" s="18" t="s">
        <v>469</v>
      </c>
      <c r="F176" s="23" t="s">
        <v>98</v>
      </c>
      <c r="G176" s="16" t="s">
        <v>99</v>
      </c>
      <c r="H176" s="18">
        <v>5</v>
      </c>
      <c r="I176" s="24">
        <v>0.07641203703703704</v>
      </c>
      <c r="J176" s="20">
        <v>0.013275462962962963</v>
      </c>
      <c r="K176" s="24"/>
      <c r="L176" s="24">
        <v>0.03866898148148148</v>
      </c>
      <c r="M176" s="18"/>
      <c r="N176" s="24">
        <v>0.024467592592592593</v>
      </c>
      <c r="O176" s="18" t="s">
        <v>48</v>
      </c>
      <c r="P176" s="18"/>
      <c r="Q176" s="18"/>
    </row>
    <row r="177" spans="1:17" ht="12.75">
      <c r="A177">
        <f t="shared" si="7"/>
        <v>166</v>
      </c>
      <c r="B177" s="22">
        <v>35979</v>
      </c>
      <c r="C177" s="16" t="s">
        <v>329</v>
      </c>
      <c r="D177" s="18" t="s">
        <v>236</v>
      </c>
      <c r="E177" s="18" t="s">
        <v>469</v>
      </c>
      <c r="F177" s="23" t="s">
        <v>268</v>
      </c>
      <c r="G177" s="18" t="s">
        <v>335</v>
      </c>
      <c r="H177" s="18">
        <v>19</v>
      </c>
      <c r="I177" s="24">
        <v>0.03980324074074074</v>
      </c>
      <c r="J177" s="20">
        <v>0.006990740740740741</v>
      </c>
      <c r="K177" s="24">
        <v>0.0004050925925925926</v>
      </c>
      <c r="L177" s="24">
        <v>0.020868055555555556</v>
      </c>
      <c r="M177" s="24">
        <v>0.0004513888888888889</v>
      </c>
      <c r="N177" s="24">
        <v>0.011076388888888887</v>
      </c>
      <c r="O177" s="18" t="s">
        <v>312</v>
      </c>
      <c r="P177" s="18"/>
      <c r="Q177" s="18"/>
    </row>
    <row r="178" spans="1:17" ht="12.75">
      <c r="A178">
        <f t="shared" si="7"/>
        <v>167</v>
      </c>
      <c r="B178" s="22">
        <v>35981</v>
      </c>
      <c r="C178" s="16" t="s">
        <v>329</v>
      </c>
      <c r="D178" s="18" t="s">
        <v>236</v>
      </c>
      <c r="E178" s="18" t="s">
        <v>469</v>
      </c>
      <c r="F178" s="23" t="s">
        <v>98</v>
      </c>
      <c r="G178" s="16" t="s">
        <v>99</v>
      </c>
      <c r="H178" s="18">
        <v>33</v>
      </c>
      <c r="I178" s="24">
        <v>0.08114583333333333</v>
      </c>
      <c r="J178" s="20"/>
      <c r="K178" s="18"/>
      <c r="L178" s="24"/>
      <c r="M178" s="18"/>
      <c r="N178" s="24"/>
      <c r="O178" s="18" t="s">
        <v>313</v>
      </c>
      <c r="P178" s="16" t="s">
        <v>520</v>
      </c>
      <c r="Q178" s="18" t="s">
        <v>230</v>
      </c>
    </row>
    <row r="179" spans="1:17" ht="12.75">
      <c r="A179">
        <f t="shared" si="7"/>
        <v>168</v>
      </c>
      <c r="B179" s="22">
        <v>35994</v>
      </c>
      <c r="C179" s="16" t="s">
        <v>38</v>
      </c>
      <c r="D179" s="18" t="s">
        <v>521</v>
      </c>
      <c r="E179" s="18" t="s">
        <v>469</v>
      </c>
      <c r="F179" s="23" t="s">
        <v>98</v>
      </c>
      <c r="G179" s="16" t="s">
        <v>99</v>
      </c>
      <c r="H179" s="18">
        <v>4</v>
      </c>
      <c r="I179" s="24">
        <v>0.07679398148148148</v>
      </c>
      <c r="J179" s="20">
        <v>0.012708333333333334</v>
      </c>
      <c r="K179" s="18"/>
      <c r="L179" s="24">
        <v>0.03998842592592593</v>
      </c>
      <c r="M179" s="24">
        <v>0.0005555555555555556</v>
      </c>
      <c r="N179" s="24">
        <v>0.023541666666666666</v>
      </c>
      <c r="O179" s="18" t="s">
        <v>48</v>
      </c>
      <c r="P179" s="18"/>
      <c r="Q179" s="18"/>
    </row>
    <row r="180" spans="1:17" ht="12.75">
      <c r="A180">
        <f t="shared" si="7"/>
        <v>169</v>
      </c>
      <c r="B180" s="22">
        <v>36002</v>
      </c>
      <c r="C180" s="16" t="s">
        <v>330</v>
      </c>
      <c r="D180" s="18" t="s">
        <v>148</v>
      </c>
      <c r="E180" s="18" t="s">
        <v>469</v>
      </c>
      <c r="F180" s="23" t="s">
        <v>98</v>
      </c>
      <c r="G180" s="16" t="s">
        <v>99</v>
      </c>
      <c r="H180" s="18">
        <v>12</v>
      </c>
      <c r="I180" s="24">
        <v>0.07664351851851851</v>
      </c>
      <c r="J180" s="20">
        <v>0.015150462962962963</v>
      </c>
      <c r="K180" s="24">
        <v>0.0010416666666666667</v>
      </c>
      <c r="L180" s="24">
        <v>0.03684027777777778</v>
      </c>
      <c r="M180" s="24">
        <v>0.0007523148148148147</v>
      </c>
      <c r="N180" s="24">
        <v>0.02287037037037037</v>
      </c>
      <c r="O180" s="18" t="s">
        <v>328</v>
      </c>
      <c r="P180" s="18"/>
      <c r="Q180" s="18"/>
    </row>
    <row r="181" spans="1:17" ht="12.75">
      <c r="A181">
        <f t="shared" si="7"/>
        <v>170</v>
      </c>
      <c r="B181" s="22">
        <v>36009</v>
      </c>
      <c r="C181" s="16" t="s">
        <v>331</v>
      </c>
      <c r="D181" s="18" t="s">
        <v>332</v>
      </c>
      <c r="E181" s="18" t="s">
        <v>469</v>
      </c>
      <c r="F181" s="23" t="s">
        <v>98</v>
      </c>
      <c r="G181" s="16" t="s">
        <v>99</v>
      </c>
      <c r="H181" s="18">
        <v>31</v>
      </c>
      <c r="I181" s="24">
        <v>0.0869212962962963</v>
      </c>
      <c r="J181" s="20">
        <v>0.01355324074074074</v>
      </c>
      <c r="K181" s="18"/>
      <c r="L181" s="24">
        <v>0.04881944444444444</v>
      </c>
      <c r="M181" s="18"/>
      <c r="N181" s="24">
        <v>0.024756944444444443</v>
      </c>
      <c r="O181" s="18" t="s">
        <v>317</v>
      </c>
      <c r="P181" s="18"/>
      <c r="Q181" s="18" t="s">
        <v>318</v>
      </c>
    </row>
    <row r="182" spans="1:17" ht="12.75">
      <c r="A182">
        <f t="shared" si="7"/>
        <v>171</v>
      </c>
      <c r="B182" s="22">
        <v>36016</v>
      </c>
      <c r="C182" s="16" t="s">
        <v>333</v>
      </c>
      <c r="D182" s="18" t="s">
        <v>229</v>
      </c>
      <c r="E182" s="18" t="s">
        <v>469</v>
      </c>
      <c r="F182" s="23" t="s">
        <v>98</v>
      </c>
      <c r="G182" s="16" t="s">
        <v>99</v>
      </c>
      <c r="H182" s="18">
        <v>34</v>
      </c>
      <c r="I182" s="24">
        <v>0.08056712962962963</v>
      </c>
      <c r="J182" s="20">
        <v>0.013900462962962962</v>
      </c>
      <c r="K182" s="24">
        <v>0.00047453703703703704</v>
      </c>
      <c r="L182" s="24">
        <v>0.04038194444444444</v>
      </c>
      <c r="M182" s="24">
        <v>0.0004976851851851852</v>
      </c>
      <c r="N182" s="24">
        <v>0.025300925925925925</v>
      </c>
      <c r="O182" s="18" t="s">
        <v>317</v>
      </c>
      <c r="P182" s="18"/>
      <c r="Q182" s="18" t="s">
        <v>318</v>
      </c>
    </row>
    <row r="183" spans="1:17" ht="12.75">
      <c r="A183">
        <f t="shared" si="7"/>
        <v>172</v>
      </c>
      <c r="B183" s="22">
        <v>36044</v>
      </c>
      <c r="C183" s="16" t="s">
        <v>246</v>
      </c>
      <c r="D183" s="18" t="s">
        <v>148</v>
      </c>
      <c r="E183" s="18" t="s">
        <v>469</v>
      </c>
      <c r="F183" s="23" t="s">
        <v>98</v>
      </c>
      <c r="G183" s="16" t="s">
        <v>99</v>
      </c>
      <c r="H183" s="18">
        <v>3</v>
      </c>
      <c r="I183" s="24">
        <v>0.08171296296296296</v>
      </c>
      <c r="J183" s="20">
        <v>0.012372685185185186</v>
      </c>
      <c r="K183" s="18"/>
      <c r="L183" s="24">
        <v>0.047245370370370375</v>
      </c>
      <c r="M183" s="18"/>
      <c r="N183" s="24">
        <v>0.022083333333333333</v>
      </c>
      <c r="O183" s="18" t="s">
        <v>272</v>
      </c>
      <c r="P183" s="18"/>
      <c r="Q183" s="18"/>
    </row>
    <row r="184" spans="1:17" ht="12.75">
      <c r="A184">
        <f t="shared" si="7"/>
        <v>173</v>
      </c>
      <c r="B184" s="22">
        <v>36051</v>
      </c>
      <c r="C184" s="16" t="s">
        <v>334</v>
      </c>
      <c r="D184" s="18" t="s">
        <v>148</v>
      </c>
      <c r="E184" s="18" t="s">
        <v>469</v>
      </c>
      <c r="F184" s="23" t="s">
        <v>268</v>
      </c>
      <c r="G184" s="16" t="s">
        <v>493</v>
      </c>
      <c r="H184" s="18">
        <v>2</v>
      </c>
      <c r="I184" s="24">
        <v>0.03855324074074074</v>
      </c>
      <c r="J184" s="20">
        <v>0.004872685185185186</v>
      </c>
      <c r="K184" s="18"/>
      <c r="L184" s="24">
        <v>0.02148148148148148</v>
      </c>
      <c r="M184" s="18"/>
      <c r="N184" s="24">
        <v>0.012199074074074072</v>
      </c>
      <c r="O184" s="18"/>
      <c r="P184" s="18"/>
      <c r="Q184" s="18"/>
    </row>
    <row r="185" spans="1:17" ht="12.75">
      <c r="A185">
        <f t="shared" si="7"/>
        <v>174</v>
      </c>
      <c r="B185" s="22">
        <v>36065</v>
      </c>
      <c r="C185" s="16" t="s">
        <v>263</v>
      </c>
      <c r="D185" s="18" t="s">
        <v>264</v>
      </c>
      <c r="E185" s="18" t="s">
        <v>469</v>
      </c>
      <c r="F185" s="23" t="s">
        <v>98</v>
      </c>
      <c r="G185" s="16" t="s">
        <v>99</v>
      </c>
      <c r="H185" s="18">
        <v>42</v>
      </c>
      <c r="I185" s="24">
        <v>0.08385416666666667</v>
      </c>
      <c r="J185" s="20">
        <v>0.015381944444444443</v>
      </c>
      <c r="K185" s="24">
        <v>0.0007175925925925927</v>
      </c>
      <c r="L185" s="24">
        <v>0.041990740740740745</v>
      </c>
      <c r="M185" s="24">
        <v>0.0006134259259259259</v>
      </c>
      <c r="N185" s="24">
        <v>0.02515046296296296</v>
      </c>
      <c r="O185" s="18" t="s">
        <v>317</v>
      </c>
      <c r="P185" s="18"/>
      <c r="Q185" s="18" t="s">
        <v>318</v>
      </c>
    </row>
    <row r="186" spans="1:17" ht="12.75">
      <c r="A186">
        <f t="shared" si="7"/>
        <v>175</v>
      </c>
      <c r="B186" s="22">
        <v>36225</v>
      </c>
      <c r="C186" s="16" t="s">
        <v>341</v>
      </c>
      <c r="D186" s="16" t="s">
        <v>304</v>
      </c>
      <c r="E186" s="16" t="s">
        <v>469</v>
      </c>
      <c r="F186" s="23" t="s">
        <v>98</v>
      </c>
      <c r="G186" s="16" t="s">
        <v>99</v>
      </c>
      <c r="H186" s="18">
        <v>4</v>
      </c>
      <c r="I186" s="24">
        <v>0.08392361111111112</v>
      </c>
      <c r="J186" s="20"/>
      <c r="K186" s="18"/>
      <c r="L186" s="24"/>
      <c r="M186" s="18"/>
      <c r="N186" s="24"/>
      <c r="O186" s="16" t="s">
        <v>328</v>
      </c>
      <c r="P186" s="18"/>
      <c r="Q186" s="18"/>
    </row>
    <row r="187" spans="1:17" ht="12.75">
      <c r="A187">
        <f t="shared" si="7"/>
        <v>176</v>
      </c>
      <c r="B187" s="22">
        <v>36261</v>
      </c>
      <c r="C187" s="16" t="s">
        <v>342</v>
      </c>
      <c r="D187" s="16" t="s">
        <v>343</v>
      </c>
      <c r="E187" s="16" t="s">
        <v>469</v>
      </c>
      <c r="F187" s="23" t="s">
        <v>98</v>
      </c>
      <c r="G187" s="16" t="s">
        <v>99</v>
      </c>
      <c r="H187" s="18">
        <v>64</v>
      </c>
      <c r="I187" s="24">
        <v>0.07987268518518519</v>
      </c>
      <c r="J187" s="20"/>
      <c r="K187" s="18"/>
      <c r="L187" s="24"/>
      <c r="M187" s="18"/>
      <c r="N187" s="24"/>
      <c r="O187" s="16" t="s">
        <v>317</v>
      </c>
      <c r="P187" s="18"/>
      <c r="Q187" s="18" t="s">
        <v>318</v>
      </c>
    </row>
    <row r="188" spans="1:17" ht="12.75">
      <c r="A188">
        <f t="shared" si="7"/>
        <v>177</v>
      </c>
      <c r="B188" s="22">
        <v>36268</v>
      </c>
      <c r="C188" s="16" t="s">
        <v>344</v>
      </c>
      <c r="D188" s="16" t="s">
        <v>343</v>
      </c>
      <c r="E188" s="16" t="s">
        <v>469</v>
      </c>
      <c r="F188" s="23" t="s">
        <v>98</v>
      </c>
      <c r="G188" s="16" t="s">
        <v>99</v>
      </c>
      <c r="H188" s="18">
        <v>56</v>
      </c>
      <c r="I188" s="24">
        <v>0.07613425925925926</v>
      </c>
      <c r="J188" s="20">
        <v>0.01266203703703704</v>
      </c>
      <c r="K188" s="18"/>
      <c r="L188" s="24">
        <v>0.04101851851851852</v>
      </c>
      <c r="M188" s="18"/>
      <c r="N188" s="24">
        <v>0.02245370370370371</v>
      </c>
      <c r="O188" s="16" t="s">
        <v>317</v>
      </c>
      <c r="P188" s="18"/>
      <c r="Q188" s="18" t="s">
        <v>318</v>
      </c>
    </row>
    <row r="189" spans="1:17" ht="12.75">
      <c r="A189">
        <f t="shared" si="7"/>
        <v>178</v>
      </c>
      <c r="B189" s="22">
        <v>36282</v>
      </c>
      <c r="C189" s="16" t="s">
        <v>345</v>
      </c>
      <c r="D189" s="16" t="s">
        <v>346</v>
      </c>
      <c r="E189" s="16" t="s">
        <v>469</v>
      </c>
      <c r="F189" s="23" t="s">
        <v>98</v>
      </c>
      <c r="G189" s="16" t="s">
        <v>99</v>
      </c>
      <c r="H189" s="18">
        <v>44</v>
      </c>
      <c r="I189" s="24">
        <v>0.08515046296296297</v>
      </c>
      <c r="J189" s="20">
        <v>0.013425925925925924</v>
      </c>
      <c r="K189" s="24">
        <v>0.0004166666666666667</v>
      </c>
      <c r="L189" s="24">
        <v>0.04528935185185185</v>
      </c>
      <c r="M189" s="24">
        <v>0.00030092592592592595</v>
      </c>
      <c r="N189" s="24">
        <v>0.02568287037037037</v>
      </c>
      <c r="O189" s="16" t="s">
        <v>317</v>
      </c>
      <c r="P189" s="18"/>
      <c r="Q189" s="18" t="s">
        <v>318</v>
      </c>
    </row>
    <row r="190" spans="1:17" ht="12.75">
      <c r="A190">
        <f t="shared" si="7"/>
        <v>179</v>
      </c>
      <c r="B190" s="22">
        <v>36295</v>
      </c>
      <c r="C190" s="16" t="s">
        <v>347</v>
      </c>
      <c r="D190" s="16" t="s">
        <v>148</v>
      </c>
      <c r="E190" s="16" t="s">
        <v>469</v>
      </c>
      <c r="F190" s="23" t="s">
        <v>268</v>
      </c>
      <c r="G190" s="16" t="s">
        <v>488</v>
      </c>
      <c r="H190" s="18">
        <v>42</v>
      </c>
      <c r="I190" s="5">
        <v>0.056388888888888884</v>
      </c>
      <c r="J190" s="4">
        <v>0.007673611111111111</v>
      </c>
      <c r="L190" s="5"/>
      <c r="N190" s="5">
        <v>0.01681712962962963</v>
      </c>
      <c r="O190" s="16" t="s">
        <v>349</v>
      </c>
      <c r="P190" s="18"/>
      <c r="Q190" s="18"/>
    </row>
    <row r="191" spans="1:17" ht="12.75">
      <c r="A191">
        <f t="shared" si="7"/>
        <v>180</v>
      </c>
      <c r="B191" s="22">
        <v>36296</v>
      </c>
      <c r="C191" s="16" t="s">
        <v>347</v>
      </c>
      <c r="D191" s="18" t="s">
        <v>148</v>
      </c>
      <c r="E191" s="18" t="s">
        <v>448</v>
      </c>
      <c r="F191" s="16" t="s">
        <v>29</v>
      </c>
      <c r="G191" s="16" t="s">
        <v>62</v>
      </c>
      <c r="H191" s="18">
        <v>69</v>
      </c>
      <c r="I191" s="24">
        <v>0.05516203703703704</v>
      </c>
      <c r="J191" s="20"/>
      <c r="K191" s="18"/>
      <c r="L191" s="18"/>
      <c r="M191" s="18"/>
      <c r="N191" s="20"/>
      <c r="O191" s="18" t="s">
        <v>349</v>
      </c>
      <c r="P191" s="18"/>
      <c r="Q191" s="18"/>
    </row>
    <row r="192" spans="1:17" ht="12.75">
      <c r="A192">
        <f t="shared" si="7"/>
        <v>181</v>
      </c>
      <c r="B192" s="22">
        <v>36310</v>
      </c>
      <c r="C192" s="16" t="s">
        <v>89</v>
      </c>
      <c r="D192" s="18" t="s">
        <v>521</v>
      </c>
      <c r="E192" s="18" t="s">
        <v>469</v>
      </c>
      <c r="F192" s="23" t="s">
        <v>98</v>
      </c>
      <c r="G192" s="16" t="s">
        <v>489</v>
      </c>
      <c r="H192" s="18">
        <v>11</v>
      </c>
      <c r="I192" s="24">
        <v>0.07307870370370372</v>
      </c>
      <c r="J192" s="20">
        <v>0.013935185185185184</v>
      </c>
      <c r="K192" s="18"/>
      <c r="L192" s="24">
        <v>0.04200231481481481</v>
      </c>
      <c r="M192" s="18"/>
      <c r="N192" s="24">
        <v>0.017141203703703704</v>
      </c>
      <c r="O192" s="16" t="s">
        <v>350</v>
      </c>
      <c r="P192" s="18"/>
      <c r="Q192" s="18"/>
    </row>
    <row r="193" spans="1:17" ht="12.75">
      <c r="A193">
        <f t="shared" si="7"/>
        <v>182</v>
      </c>
      <c r="B193" s="22">
        <v>36317</v>
      </c>
      <c r="C193" s="16" t="s">
        <v>308</v>
      </c>
      <c r="D193" s="18" t="s">
        <v>521</v>
      </c>
      <c r="E193" s="18" t="s">
        <v>469</v>
      </c>
      <c r="F193" s="23" t="s">
        <v>175</v>
      </c>
      <c r="G193" s="16" t="s">
        <v>401</v>
      </c>
      <c r="H193" s="18">
        <v>9</v>
      </c>
      <c r="I193" s="24">
        <v>0.17371527777777776</v>
      </c>
      <c r="J193" s="20">
        <v>0.023032407407407404</v>
      </c>
      <c r="K193" s="18"/>
      <c r="L193" s="24">
        <v>0.09300925925925925</v>
      </c>
      <c r="M193" s="18"/>
      <c r="N193" s="24">
        <v>0.05767361111111111</v>
      </c>
      <c r="O193" s="18"/>
      <c r="P193" s="18"/>
      <c r="Q193" s="18"/>
    </row>
    <row r="194" spans="1:17" ht="12.75">
      <c r="A194">
        <f t="shared" si="7"/>
        <v>183</v>
      </c>
      <c r="B194" s="22">
        <v>36324</v>
      </c>
      <c r="C194" s="16" t="s">
        <v>271</v>
      </c>
      <c r="D194" s="18" t="s">
        <v>148</v>
      </c>
      <c r="E194" s="18" t="s">
        <v>469</v>
      </c>
      <c r="F194" s="23" t="s">
        <v>268</v>
      </c>
      <c r="G194" s="16" t="s">
        <v>490</v>
      </c>
      <c r="H194" s="18">
        <v>2</v>
      </c>
      <c r="I194" s="24">
        <v>0.014976851851851852</v>
      </c>
      <c r="J194" s="20"/>
      <c r="K194" s="18"/>
      <c r="L194" s="24"/>
      <c r="M194" s="18"/>
      <c r="N194" s="24"/>
      <c r="O194" s="18" t="s">
        <v>351</v>
      </c>
      <c r="P194" s="18"/>
      <c r="Q194" s="18"/>
    </row>
    <row r="195" spans="1:17" ht="12.75">
      <c r="A195">
        <f t="shared" si="7"/>
        <v>184</v>
      </c>
      <c r="B195" s="22">
        <v>36324</v>
      </c>
      <c r="C195" s="16" t="s">
        <v>271</v>
      </c>
      <c r="D195" s="18" t="s">
        <v>148</v>
      </c>
      <c r="E195" s="18" t="s">
        <v>469</v>
      </c>
      <c r="F195" s="23" t="s">
        <v>460</v>
      </c>
      <c r="G195" s="28" t="s">
        <v>491</v>
      </c>
      <c r="H195" s="18">
        <v>6</v>
      </c>
      <c r="I195" s="24">
        <v>0.0427662037037037</v>
      </c>
      <c r="J195" s="20">
        <f>I195-L195-N195</f>
        <v>0.008275462962962962</v>
      </c>
      <c r="K195" s="18"/>
      <c r="L195" s="24">
        <v>0.022534722222222223</v>
      </c>
      <c r="M195" s="18"/>
      <c r="N195" s="24">
        <v>0.011956018518518517</v>
      </c>
      <c r="O195" s="18" t="s">
        <v>352</v>
      </c>
      <c r="P195" s="18"/>
      <c r="Q195" s="18"/>
    </row>
    <row r="196" spans="1:17" ht="12.75">
      <c r="A196">
        <f t="shared" si="7"/>
        <v>185</v>
      </c>
      <c r="B196" s="22">
        <v>36331</v>
      </c>
      <c r="C196" s="16" t="s">
        <v>353</v>
      </c>
      <c r="D196" s="18" t="s">
        <v>521</v>
      </c>
      <c r="E196" s="18" t="s">
        <v>469</v>
      </c>
      <c r="F196" s="23" t="s">
        <v>175</v>
      </c>
      <c r="G196" s="16" t="s">
        <v>496</v>
      </c>
      <c r="H196" s="18">
        <v>1</v>
      </c>
      <c r="I196" s="24">
        <v>0.15810185185185185</v>
      </c>
      <c r="J196" s="20">
        <v>0.02290509259259259</v>
      </c>
      <c r="K196" s="18"/>
      <c r="L196" s="24">
        <v>0.08570601851851851</v>
      </c>
      <c r="M196" s="18"/>
      <c r="N196" s="24">
        <v>0.049490740740740745</v>
      </c>
      <c r="O196" s="18"/>
      <c r="P196" s="18"/>
      <c r="Q196" s="18"/>
    </row>
    <row r="197" spans="1:17" ht="12.75">
      <c r="A197">
        <f t="shared" si="7"/>
        <v>186</v>
      </c>
      <c r="B197" s="22">
        <v>36338</v>
      </c>
      <c r="C197" s="16" t="s">
        <v>90</v>
      </c>
      <c r="D197" s="18" t="s">
        <v>521</v>
      </c>
      <c r="E197" s="18" t="s">
        <v>469</v>
      </c>
      <c r="F197" s="23" t="s">
        <v>98</v>
      </c>
      <c r="G197" s="16" t="s">
        <v>99</v>
      </c>
      <c r="H197" s="18">
        <v>7</v>
      </c>
      <c r="I197" s="24">
        <v>0.07657407407407407</v>
      </c>
      <c r="J197" s="20">
        <v>0.014548611111111111</v>
      </c>
      <c r="K197" s="24"/>
      <c r="L197" s="24">
        <v>0.039155092592592596</v>
      </c>
      <c r="M197" s="18"/>
      <c r="N197" s="24">
        <v>0.02287037037037037</v>
      </c>
      <c r="O197" s="18" t="s">
        <v>48</v>
      </c>
      <c r="P197" s="18"/>
      <c r="Q197" s="18"/>
    </row>
    <row r="198" spans="1:17" ht="12.75">
      <c r="A198">
        <f t="shared" si="7"/>
        <v>187</v>
      </c>
      <c r="B198" s="22">
        <v>36352</v>
      </c>
      <c r="C198" s="16" t="s">
        <v>354</v>
      </c>
      <c r="D198" s="18" t="s">
        <v>355</v>
      </c>
      <c r="E198" s="18" t="s">
        <v>469</v>
      </c>
      <c r="F198" s="23" t="s">
        <v>189</v>
      </c>
      <c r="G198" s="16" t="s">
        <v>492</v>
      </c>
      <c r="H198" s="18">
        <v>15</v>
      </c>
      <c r="I198" s="24">
        <v>0.24876157407407407</v>
      </c>
      <c r="J198" s="20">
        <v>0.03523148148148148</v>
      </c>
      <c r="K198" s="18"/>
      <c r="L198" s="24">
        <v>0.1277777777777778</v>
      </c>
      <c r="M198" s="18"/>
      <c r="N198" s="24">
        <v>0.08402777777777777</v>
      </c>
      <c r="O198" s="18" t="s">
        <v>356</v>
      </c>
      <c r="P198" s="18"/>
      <c r="Q198" s="18" t="s">
        <v>190</v>
      </c>
    </row>
    <row r="199" spans="1:17" ht="12.75">
      <c r="A199">
        <f t="shared" si="7"/>
        <v>188</v>
      </c>
      <c r="B199" s="22">
        <v>36358</v>
      </c>
      <c r="C199" s="16" t="s">
        <v>38</v>
      </c>
      <c r="D199" s="18" t="s">
        <v>521</v>
      </c>
      <c r="E199" s="18" t="s">
        <v>469</v>
      </c>
      <c r="F199" s="23" t="s">
        <v>98</v>
      </c>
      <c r="G199" s="16" t="s">
        <v>99</v>
      </c>
      <c r="H199" s="18">
        <v>6</v>
      </c>
      <c r="I199" s="24">
        <v>0.07738425925925925</v>
      </c>
      <c r="J199" s="20">
        <v>0.013958333333333335</v>
      </c>
      <c r="K199" s="18"/>
      <c r="L199" s="24">
        <v>0.03902777777777778</v>
      </c>
      <c r="M199" s="24">
        <v>0.0003356481481481481</v>
      </c>
      <c r="N199" s="24">
        <v>0.0240625</v>
      </c>
      <c r="O199" s="65" t="s">
        <v>517</v>
      </c>
      <c r="P199" s="18"/>
      <c r="Q199" s="18" t="s">
        <v>33</v>
      </c>
    </row>
    <row r="200" spans="1:17" ht="12.75">
      <c r="A200">
        <f t="shared" si="7"/>
        <v>189</v>
      </c>
      <c r="B200" s="22">
        <v>36373</v>
      </c>
      <c r="C200" s="16" t="s">
        <v>326</v>
      </c>
      <c r="D200" s="18" t="s">
        <v>327</v>
      </c>
      <c r="E200" s="18" t="s">
        <v>469</v>
      </c>
      <c r="F200" s="23" t="s">
        <v>202</v>
      </c>
      <c r="G200" s="16" t="s">
        <v>249</v>
      </c>
      <c r="H200" s="18">
        <v>6</v>
      </c>
      <c r="I200" s="24">
        <v>0.3729976851851852</v>
      </c>
      <c r="J200" s="20">
        <v>0.03607638888888889</v>
      </c>
      <c r="K200" s="24">
        <v>0.0005671296296296296</v>
      </c>
      <c r="L200" s="24">
        <v>0.20890046296296297</v>
      </c>
      <c r="M200" s="24">
        <v>0.0006597222222222221</v>
      </c>
      <c r="N200" s="24">
        <v>0.12677083333333333</v>
      </c>
      <c r="O200" s="18" t="s">
        <v>614</v>
      </c>
      <c r="P200" s="18"/>
      <c r="Q200" s="18"/>
    </row>
    <row r="201" spans="1:17" ht="12.75">
      <c r="A201">
        <f t="shared" si="7"/>
        <v>190</v>
      </c>
      <c r="B201" s="22">
        <v>36379</v>
      </c>
      <c r="C201" s="16" t="s">
        <v>314</v>
      </c>
      <c r="D201" s="18" t="s">
        <v>148</v>
      </c>
      <c r="E201" s="18" t="s">
        <v>469</v>
      </c>
      <c r="F201" s="23" t="s">
        <v>98</v>
      </c>
      <c r="G201" s="16" t="s">
        <v>99</v>
      </c>
      <c r="H201" s="18">
        <v>1</v>
      </c>
      <c r="I201" s="24">
        <v>0.07775462962962963</v>
      </c>
      <c r="J201" s="20"/>
      <c r="K201" s="18"/>
      <c r="L201" s="24"/>
      <c r="M201" s="18"/>
      <c r="N201" s="24"/>
      <c r="O201" s="18" t="s">
        <v>272</v>
      </c>
      <c r="P201" s="18"/>
      <c r="Q201" s="18"/>
    </row>
    <row r="202" spans="1:17" ht="12.75">
      <c r="A202">
        <f t="shared" si="7"/>
        <v>191</v>
      </c>
      <c r="B202" s="22">
        <v>36387</v>
      </c>
      <c r="C202" s="16" t="s">
        <v>283</v>
      </c>
      <c r="D202" s="18" t="s">
        <v>148</v>
      </c>
      <c r="E202" s="18" t="s">
        <v>469</v>
      </c>
      <c r="F202" s="23" t="s">
        <v>98</v>
      </c>
      <c r="G202" s="16" t="s">
        <v>254</v>
      </c>
      <c r="H202" s="18">
        <v>7</v>
      </c>
      <c r="I202" s="24">
        <v>0.08399305555555554</v>
      </c>
      <c r="J202" s="20">
        <v>0.012974537037037036</v>
      </c>
      <c r="K202" s="18"/>
      <c r="L202" s="24">
        <v>0.04756944444444444</v>
      </c>
      <c r="M202" s="24">
        <f>I202-N202-L202-J202</f>
        <v>0</v>
      </c>
      <c r="N202" s="24">
        <v>0.02344907407407407</v>
      </c>
      <c r="O202" s="18" t="s">
        <v>272</v>
      </c>
      <c r="P202" s="18"/>
      <c r="Q202" s="18"/>
    </row>
    <row r="203" spans="1:17" ht="12.75">
      <c r="A203">
        <f t="shared" si="7"/>
        <v>192</v>
      </c>
      <c r="B203" s="22">
        <v>36400</v>
      </c>
      <c r="C203" s="16" t="s">
        <v>246</v>
      </c>
      <c r="D203" s="18" t="s">
        <v>148</v>
      </c>
      <c r="E203" s="18" t="s">
        <v>469</v>
      </c>
      <c r="F203" s="23" t="s">
        <v>98</v>
      </c>
      <c r="G203" s="16" t="s">
        <v>99</v>
      </c>
      <c r="H203" s="18">
        <v>2</v>
      </c>
      <c r="I203" s="24">
        <v>0.07935185185185185</v>
      </c>
      <c r="J203" s="20">
        <v>0.012164351851851852</v>
      </c>
      <c r="K203" s="18"/>
      <c r="L203" s="24">
        <v>0.046412037037037036</v>
      </c>
      <c r="M203" s="24">
        <f>I203-N203-L203-J203</f>
        <v>0</v>
      </c>
      <c r="N203" s="24">
        <v>0.020775462962962964</v>
      </c>
      <c r="O203" s="18" t="s">
        <v>272</v>
      </c>
      <c r="P203" s="18"/>
      <c r="Q203" s="18"/>
    </row>
    <row r="204" spans="1:18" ht="12.75">
      <c r="A204">
        <f aca="true" t="shared" si="8" ref="A204:A267">IF(B204=0,"",ROW(A193))</f>
        <v>193</v>
      </c>
      <c r="B204" s="22">
        <v>36407</v>
      </c>
      <c r="C204" s="16" t="s">
        <v>201</v>
      </c>
      <c r="D204" s="18" t="s">
        <v>521</v>
      </c>
      <c r="E204" s="18" t="s">
        <v>469</v>
      </c>
      <c r="F204" s="23" t="s">
        <v>202</v>
      </c>
      <c r="G204" s="16" t="s">
        <v>249</v>
      </c>
      <c r="H204" s="18">
        <v>14</v>
      </c>
      <c r="I204" s="24">
        <v>0.3536574074074074</v>
      </c>
      <c r="J204" s="20">
        <v>0.034074074074074076</v>
      </c>
      <c r="K204" s="18"/>
      <c r="L204" s="24">
        <v>0.1870023148148148</v>
      </c>
      <c r="M204" s="24"/>
      <c r="N204" s="24">
        <v>0.13258101851851853</v>
      </c>
      <c r="O204" s="18" t="s">
        <v>585</v>
      </c>
      <c r="P204" s="18"/>
      <c r="Q204" s="18" t="s">
        <v>230</v>
      </c>
      <c r="R204" t="s">
        <v>33</v>
      </c>
    </row>
    <row r="205" spans="1:17" ht="12.75">
      <c r="A205">
        <f t="shared" si="8"/>
        <v>194</v>
      </c>
      <c r="B205" s="22">
        <v>36414</v>
      </c>
      <c r="C205" s="16" t="s">
        <v>334</v>
      </c>
      <c r="D205" s="18" t="s">
        <v>148</v>
      </c>
      <c r="E205" s="18" t="s">
        <v>469</v>
      </c>
      <c r="F205" s="23" t="s">
        <v>268</v>
      </c>
      <c r="G205" s="16" t="s">
        <v>493</v>
      </c>
      <c r="H205" s="18">
        <v>12</v>
      </c>
      <c r="I205" s="24">
        <v>0.043194444444444445</v>
      </c>
      <c r="J205" s="20">
        <v>0.004398148148148148</v>
      </c>
      <c r="K205" s="18"/>
      <c r="L205" s="24"/>
      <c r="M205" s="18"/>
      <c r="N205" s="24"/>
      <c r="O205" s="18"/>
      <c r="P205" s="18"/>
      <c r="Q205" s="18"/>
    </row>
    <row r="206" spans="1:17" ht="12.75">
      <c r="A206">
        <f t="shared" si="8"/>
        <v>195</v>
      </c>
      <c r="B206" s="22">
        <v>36429</v>
      </c>
      <c r="C206" s="16" t="s">
        <v>188</v>
      </c>
      <c r="D206" s="18" t="s">
        <v>316</v>
      </c>
      <c r="E206" s="18" t="s">
        <v>469</v>
      </c>
      <c r="F206" s="23" t="s">
        <v>189</v>
      </c>
      <c r="G206" s="16" t="s">
        <v>376</v>
      </c>
      <c r="H206" s="18">
        <v>15</v>
      </c>
      <c r="I206" s="24">
        <v>0.27494212962962966</v>
      </c>
      <c r="J206" s="20">
        <v>0.03533564814814815</v>
      </c>
      <c r="K206" s="24">
        <v>0.0007175925925925927</v>
      </c>
      <c r="L206" s="24">
        <v>0.1528935185185185</v>
      </c>
      <c r="M206" s="24">
        <v>0.0007291666666666667</v>
      </c>
      <c r="N206" s="24">
        <v>0.08466435185185185</v>
      </c>
      <c r="O206" s="18" t="s">
        <v>360</v>
      </c>
      <c r="P206" s="18"/>
      <c r="Q206" s="18"/>
    </row>
    <row r="207" spans="1:17" ht="12.75">
      <c r="A207">
        <f t="shared" si="8"/>
        <v>196</v>
      </c>
      <c r="B207" s="22">
        <v>36470</v>
      </c>
      <c r="C207" s="16" t="s">
        <v>358</v>
      </c>
      <c r="D207" s="18" t="s">
        <v>359</v>
      </c>
      <c r="E207" s="18" t="s">
        <v>469</v>
      </c>
      <c r="F207" s="23" t="s">
        <v>202</v>
      </c>
      <c r="G207" s="16" t="s">
        <v>249</v>
      </c>
      <c r="H207" s="18">
        <v>6</v>
      </c>
      <c r="I207" s="24">
        <v>0.3738310185185185</v>
      </c>
      <c r="J207" s="20">
        <v>0.038113425925925926</v>
      </c>
      <c r="K207" s="18"/>
      <c r="L207" s="24">
        <v>0.2004398148148148</v>
      </c>
      <c r="M207" s="18"/>
      <c r="N207" s="24">
        <v>0.1320486111111111</v>
      </c>
      <c r="O207" s="18" t="s">
        <v>429</v>
      </c>
      <c r="P207" s="18"/>
      <c r="Q207" s="18"/>
    </row>
    <row r="208" spans="1:17" ht="12.75">
      <c r="A208">
        <f t="shared" si="8"/>
        <v>197</v>
      </c>
      <c r="B208" s="22">
        <v>36653</v>
      </c>
      <c r="C208" s="22" t="s">
        <v>271</v>
      </c>
      <c r="D208" s="22" t="s">
        <v>148</v>
      </c>
      <c r="E208" s="22" t="s">
        <v>469</v>
      </c>
      <c r="F208" s="22" t="s">
        <v>268</v>
      </c>
      <c r="G208" s="22" t="s">
        <v>369</v>
      </c>
      <c r="H208" s="18">
        <v>16</v>
      </c>
      <c r="I208" s="20">
        <v>0.015011574074074075</v>
      </c>
      <c r="J208" s="20">
        <v>0.0026620370370370374</v>
      </c>
      <c r="K208" s="28"/>
      <c r="L208" s="49"/>
      <c r="M208" s="49"/>
      <c r="N208" s="24">
        <v>0.005925925925925926</v>
      </c>
      <c r="O208" s="49" t="s">
        <v>272</v>
      </c>
      <c r="P208" s="49"/>
      <c r="Q208" s="49"/>
    </row>
    <row r="209" spans="1:17" ht="12.75">
      <c r="A209">
        <f t="shared" si="8"/>
        <v>198</v>
      </c>
      <c r="B209" s="29">
        <v>36653</v>
      </c>
      <c r="C209" s="16" t="s">
        <v>361</v>
      </c>
      <c r="D209" s="16" t="s">
        <v>148</v>
      </c>
      <c r="E209" s="16" t="s">
        <v>469</v>
      </c>
      <c r="F209" s="31" t="s">
        <v>460</v>
      </c>
      <c r="G209" s="16" t="s">
        <v>373</v>
      </c>
      <c r="H209" s="18">
        <v>17</v>
      </c>
      <c r="I209" s="20">
        <v>0.03819444444444444</v>
      </c>
      <c r="J209" s="20">
        <v>0.005115740740740741</v>
      </c>
      <c r="K209" s="16"/>
      <c r="L209" s="24"/>
      <c r="M209" s="24"/>
      <c r="N209" s="18"/>
      <c r="O209" s="24" t="s">
        <v>272</v>
      </c>
      <c r="P209" s="18"/>
      <c r="Q209" s="24"/>
    </row>
    <row r="210" spans="1:17" ht="12.75">
      <c r="A210">
        <f t="shared" si="8"/>
        <v>199</v>
      </c>
      <c r="B210" s="22">
        <v>36680</v>
      </c>
      <c r="C210" s="18" t="s">
        <v>362</v>
      </c>
      <c r="D210" s="16" t="s">
        <v>148</v>
      </c>
      <c r="E210" s="16" t="s">
        <v>469</v>
      </c>
      <c r="F210" s="31" t="s">
        <v>268</v>
      </c>
      <c r="G210" s="16" t="s">
        <v>374</v>
      </c>
      <c r="H210" s="18">
        <v>13</v>
      </c>
      <c r="I210" s="20">
        <v>0.017361111111111112</v>
      </c>
      <c r="J210" s="20"/>
      <c r="K210" s="16"/>
      <c r="L210" s="24"/>
      <c r="M210" s="24"/>
      <c r="N210" s="18"/>
      <c r="O210" s="24" t="s">
        <v>272</v>
      </c>
      <c r="P210" s="18"/>
      <c r="Q210" s="24"/>
    </row>
    <row r="211" spans="1:17" ht="12.75">
      <c r="A211">
        <f t="shared" si="8"/>
        <v>200</v>
      </c>
      <c r="B211" s="22">
        <v>36681</v>
      </c>
      <c r="C211" s="23" t="s">
        <v>363</v>
      </c>
      <c r="D211" s="23" t="s">
        <v>148</v>
      </c>
      <c r="E211" s="23" t="s">
        <v>469</v>
      </c>
      <c r="F211" s="23" t="s">
        <v>460</v>
      </c>
      <c r="G211" s="23" t="s">
        <v>375</v>
      </c>
      <c r="H211" s="18">
        <v>10</v>
      </c>
      <c r="I211" s="20">
        <v>0.034652777777777775</v>
      </c>
      <c r="J211" s="20"/>
      <c r="K211" s="16"/>
      <c r="L211" s="24"/>
      <c r="M211" s="24"/>
      <c r="N211" s="18"/>
      <c r="O211" s="24" t="s">
        <v>272</v>
      </c>
      <c r="P211" s="18"/>
      <c r="Q211" s="24"/>
    </row>
    <row r="212" spans="1:17" ht="12.75">
      <c r="A212">
        <f t="shared" si="8"/>
        <v>201</v>
      </c>
      <c r="B212" s="22">
        <v>36695</v>
      </c>
      <c r="C212" s="18" t="s">
        <v>188</v>
      </c>
      <c r="D212" s="16" t="s">
        <v>316</v>
      </c>
      <c r="E212" s="16" t="s">
        <v>469</v>
      </c>
      <c r="F212" s="23" t="s">
        <v>189</v>
      </c>
      <c r="G212" s="16" t="s">
        <v>376</v>
      </c>
      <c r="H212" s="18">
        <v>27</v>
      </c>
      <c r="I212" s="20">
        <v>0.2841782407407408</v>
      </c>
      <c r="J212" s="20">
        <v>0.03760416666666667</v>
      </c>
      <c r="K212" s="32">
        <v>0.001423611111111111</v>
      </c>
      <c r="L212" s="24">
        <v>0.1561921296296296</v>
      </c>
      <c r="M212" s="24">
        <v>0.0017013888888888892</v>
      </c>
      <c r="N212" s="24">
        <v>0.08725694444444444</v>
      </c>
      <c r="O212" s="24" t="s">
        <v>190</v>
      </c>
      <c r="P212" s="18"/>
      <c r="Q212" s="24" t="s">
        <v>190</v>
      </c>
    </row>
    <row r="213" spans="1:17" ht="12.75">
      <c r="A213">
        <f t="shared" si="8"/>
        <v>202</v>
      </c>
      <c r="B213" s="29">
        <v>36709</v>
      </c>
      <c r="C213" s="16" t="s">
        <v>250</v>
      </c>
      <c r="D213" s="18" t="s">
        <v>521</v>
      </c>
      <c r="E213" s="16" t="s">
        <v>469</v>
      </c>
      <c r="F213" s="31" t="s">
        <v>98</v>
      </c>
      <c r="G213" s="16" t="s">
        <v>99</v>
      </c>
      <c r="H213" s="18">
        <v>1</v>
      </c>
      <c r="I213" s="30">
        <v>0.07509259259259259</v>
      </c>
      <c r="J213" s="20"/>
      <c r="K213" s="16"/>
      <c r="L213" s="24"/>
      <c r="M213" s="24"/>
      <c r="N213" s="18"/>
      <c r="O213" s="24" t="s">
        <v>377</v>
      </c>
      <c r="P213" s="18" t="s">
        <v>397</v>
      </c>
      <c r="Q213" s="24"/>
    </row>
    <row r="214" spans="1:17" ht="12.75">
      <c r="A214">
        <f t="shared" si="8"/>
        <v>203</v>
      </c>
      <c r="B214" s="22">
        <v>36716</v>
      </c>
      <c r="C214" s="24" t="s">
        <v>364</v>
      </c>
      <c r="D214" s="24" t="s">
        <v>148</v>
      </c>
      <c r="E214" s="24" t="s">
        <v>469</v>
      </c>
      <c r="F214" s="24" t="s">
        <v>202</v>
      </c>
      <c r="G214" s="16" t="s">
        <v>249</v>
      </c>
      <c r="H214" s="18">
        <v>14</v>
      </c>
      <c r="I214" s="20">
        <v>0.3725925925925926</v>
      </c>
      <c r="J214" s="20">
        <v>0.03715277777777778</v>
      </c>
      <c r="K214" s="24">
        <v>0.0010532407407407407</v>
      </c>
      <c r="L214" s="24">
        <v>0.19931712962962964</v>
      </c>
      <c r="M214" s="24">
        <v>0.0010879629629629629</v>
      </c>
      <c r="N214" s="24">
        <v>0.13398148148148148</v>
      </c>
      <c r="O214" s="24" t="s">
        <v>432</v>
      </c>
      <c r="P214" s="18"/>
      <c r="Q214" s="24"/>
    </row>
    <row r="215" spans="1:17" ht="12.75">
      <c r="A215">
        <f t="shared" si="8"/>
        <v>204</v>
      </c>
      <c r="B215" s="22">
        <v>36722</v>
      </c>
      <c r="C215" s="24" t="s">
        <v>38</v>
      </c>
      <c r="D215" s="18" t="s">
        <v>521</v>
      </c>
      <c r="E215" s="24" t="s">
        <v>469</v>
      </c>
      <c r="F215" s="24" t="s">
        <v>98</v>
      </c>
      <c r="G215" s="24" t="s">
        <v>99</v>
      </c>
      <c r="H215" s="18">
        <v>14</v>
      </c>
      <c r="I215" s="20">
        <v>0.08020833333333334</v>
      </c>
      <c r="J215" s="20">
        <v>0.013506944444444445</v>
      </c>
      <c r="K215" s="16"/>
      <c r="L215" s="24">
        <v>0.04162037037037037</v>
      </c>
      <c r="M215" s="24">
        <v>0.0004398148148148148</v>
      </c>
      <c r="N215" s="24">
        <v>0.024675925925925924</v>
      </c>
      <c r="O215" s="24" t="s">
        <v>378</v>
      </c>
      <c r="P215" s="18"/>
      <c r="Q215" s="24" t="s">
        <v>33</v>
      </c>
    </row>
    <row r="216" spans="1:17" ht="12.75">
      <c r="A216">
        <f t="shared" si="8"/>
        <v>205</v>
      </c>
      <c r="B216" s="22">
        <v>36736</v>
      </c>
      <c r="C216" s="18" t="s">
        <v>365</v>
      </c>
      <c r="D216" s="18" t="s">
        <v>148</v>
      </c>
      <c r="E216" s="18" t="s">
        <v>448</v>
      </c>
      <c r="F216" s="16" t="s">
        <v>267</v>
      </c>
      <c r="G216" s="16" t="s">
        <v>379</v>
      </c>
      <c r="H216" s="18">
        <v>23</v>
      </c>
      <c r="I216" s="20">
        <v>0.07456018518518519</v>
      </c>
      <c r="J216" s="20"/>
      <c r="K216" s="18"/>
      <c r="L216" s="18"/>
      <c r="M216" s="18"/>
      <c r="N216" s="18"/>
      <c r="O216" s="20"/>
      <c r="P216" s="18"/>
      <c r="Q216" s="18"/>
    </row>
    <row r="217" spans="1:17" ht="12.75">
      <c r="A217">
        <f t="shared" si="8"/>
        <v>206</v>
      </c>
      <c r="B217" s="22">
        <v>36744</v>
      </c>
      <c r="C217" s="24" t="s">
        <v>366</v>
      </c>
      <c r="D217" s="24" t="s">
        <v>148</v>
      </c>
      <c r="E217" s="24" t="s">
        <v>469</v>
      </c>
      <c r="F217" s="24" t="s">
        <v>98</v>
      </c>
      <c r="G217" s="24" t="s">
        <v>99</v>
      </c>
      <c r="H217" s="18">
        <v>14</v>
      </c>
      <c r="I217" s="20">
        <v>0.08619212962962963</v>
      </c>
      <c r="J217" s="20"/>
      <c r="K217" s="16"/>
      <c r="L217" s="24"/>
      <c r="M217" s="24"/>
      <c r="N217" s="18"/>
      <c r="O217" s="24" t="s">
        <v>272</v>
      </c>
      <c r="P217" s="18"/>
      <c r="Q217" s="24"/>
    </row>
    <row r="218" spans="1:17" ht="12.75">
      <c r="A218">
        <f t="shared" si="8"/>
        <v>207</v>
      </c>
      <c r="B218" s="22">
        <v>36757</v>
      </c>
      <c r="C218" s="18" t="s">
        <v>246</v>
      </c>
      <c r="D218" s="24" t="s">
        <v>148</v>
      </c>
      <c r="E218" s="24" t="s">
        <v>469</v>
      </c>
      <c r="F218" s="24" t="s">
        <v>98</v>
      </c>
      <c r="G218" s="24" t="s">
        <v>99</v>
      </c>
      <c r="H218" s="18">
        <v>8</v>
      </c>
      <c r="I218" s="20">
        <v>0.07991898148148148</v>
      </c>
      <c r="O218" s="24" t="s">
        <v>272</v>
      </c>
      <c r="P218" s="18"/>
      <c r="Q218" s="24"/>
    </row>
    <row r="219" spans="1:17" ht="12.75">
      <c r="A219">
        <f t="shared" si="8"/>
        <v>208</v>
      </c>
      <c r="B219" s="22">
        <v>36771</v>
      </c>
      <c r="C219" s="18" t="s">
        <v>201</v>
      </c>
      <c r="D219" s="18" t="s">
        <v>521</v>
      </c>
      <c r="E219" s="18" t="s">
        <v>469</v>
      </c>
      <c r="F219" s="24" t="s">
        <v>202</v>
      </c>
      <c r="G219" s="24" t="s">
        <v>249</v>
      </c>
      <c r="H219" s="18">
        <v>4</v>
      </c>
      <c r="I219" s="20">
        <v>0.35210648148148144</v>
      </c>
      <c r="J219" s="20">
        <v>0.03775462962962963</v>
      </c>
      <c r="K219" s="16"/>
      <c r="L219" s="24">
        <v>0.19189814814814818</v>
      </c>
      <c r="M219" s="24"/>
      <c r="N219" s="24">
        <v>0.12245370370370372</v>
      </c>
      <c r="O219" s="50" t="s">
        <v>381</v>
      </c>
      <c r="P219" s="18"/>
      <c r="Q219" s="24" t="s">
        <v>33</v>
      </c>
    </row>
    <row r="220" spans="1:17" ht="12.75">
      <c r="A220">
        <f t="shared" si="8"/>
        <v>209</v>
      </c>
      <c r="B220" s="22">
        <v>36779</v>
      </c>
      <c r="C220" s="18" t="s">
        <v>334</v>
      </c>
      <c r="D220" s="24" t="s">
        <v>148</v>
      </c>
      <c r="E220" s="24" t="s">
        <v>469</v>
      </c>
      <c r="F220" s="24" t="s">
        <v>268</v>
      </c>
      <c r="G220" s="24" t="s">
        <v>382</v>
      </c>
      <c r="H220" s="18">
        <v>12</v>
      </c>
      <c r="I220" s="20">
        <v>0.04200231481481481</v>
      </c>
      <c r="J220" s="20">
        <v>0.004398148148148148</v>
      </c>
      <c r="K220" s="32">
        <v>0.0004513888888888889</v>
      </c>
      <c r="L220" s="24">
        <v>0.025439814814814814</v>
      </c>
      <c r="M220" s="24">
        <f>I220-N220-L220-J220</f>
        <v>0.00045138888888888225</v>
      </c>
      <c r="N220" s="24">
        <v>0.011712962962962965</v>
      </c>
      <c r="O220" s="24"/>
      <c r="P220" s="18"/>
      <c r="Q220" s="24"/>
    </row>
    <row r="221" spans="1:17" ht="12.75">
      <c r="A221">
        <f t="shared" si="8"/>
        <v>210</v>
      </c>
      <c r="B221" s="22">
        <v>36793</v>
      </c>
      <c r="C221" s="18" t="s">
        <v>34</v>
      </c>
      <c r="D221" s="18" t="s">
        <v>521</v>
      </c>
      <c r="E221" s="18" t="s">
        <v>448</v>
      </c>
      <c r="F221" s="16" t="s">
        <v>267</v>
      </c>
      <c r="G221" s="18" t="s">
        <v>205</v>
      </c>
      <c r="H221" s="18">
        <v>5</v>
      </c>
      <c r="I221" s="24">
        <v>0.07193287037037037</v>
      </c>
      <c r="J221" s="20">
        <v>0.022662037037037036</v>
      </c>
      <c r="K221" s="18"/>
      <c r="L221" s="24">
        <v>0.03899305555555555</v>
      </c>
      <c r="M221" s="24">
        <f>I221-N221-L221-J221</f>
        <v>0</v>
      </c>
      <c r="N221" s="20">
        <v>0.010277777777777778</v>
      </c>
      <c r="O221" s="18"/>
      <c r="P221" s="18"/>
      <c r="Q221" s="18"/>
    </row>
    <row r="222" spans="1:17" ht="12.75">
      <c r="A222">
        <f t="shared" si="8"/>
        <v>211</v>
      </c>
      <c r="B222" s="22">
        <v>36813</v>
      </c>
      <c r="C222" s="18" t="s">
        <v>367</v>
      </c>
      <c r="D222" s="18" t="s">
        <v>359</v>
      </c>
      <c r="E222" s="18" t="s">
        <v>469</v>
      </c>
      <c r="F222" s="24" t="s">
        <v>202</v>
      </c>
      <c r="G222" s="24" t="s">
        <v>249</v>
      </c>
      <c r="H222" s="18">
        <v>53</v>
      </c>
      <c r="I222" s="20">
        <v>0.3889120370370371</v>
      </c>
      <c r="J222" s="20">
        <v>0.038113425925925926</v>
      </c>
      <c r="K222" s="32">
        <v>0.0009953703703703704</v>
      </c>
      <c r="L222" s="24">
        <v>0.2038425925925926</v>
      </c>
      <c r="M222" s="24">
        <v>0.0012384259259259258</v>
      </c>
      <c r="N222" s="24">
        <v>0.1447337962962963</v>
      </c>
      <c r="O222" s="24" t="s">
        <v>430</v>
      </c>
      <c r="P222" s="18"/>
      <c r="Q222" s="24"/>
    </row>
    <row r="223" spans="1:17" ht="12.75">
      <c r="A223">
        <f t="shared" si="8"/>
        <v>212</v>
      </c>
      <c r="B223" s="22">
        <v>36821</v>
      </c>
      <c r="C223" s="18" t="s">
        <v>368</v>
      </c>
      <c r="D223" s="18" t="s">
        <v>359</v>
      </c>
      <c r="E223" s="18" t="s">
        <v>469</v>
      </c>
      <c r="F223" s="24" t="s">
        <v>402</v>
      </c>
      <c r="G223" s="24" t="s">
        <v>383</v>
      </c>
      <c r="H223" s="18">
        <v>75</v>
      </c>
      <c r="I223" s="20">
        <v>0.1374074074074074</v>
      </c>
      <c r="J223" s="20">
        <v>0.013784722222222224</v>
      </c>
      <c r="K223" s="16"/>
      <c r="L223" s="24">
        <v>0.09305555555555556</v>
      </c>
      <c r="M223" s="24">
        <f>I223-N223-L223-J223</f>
        <v>0.0014004629629629523</v>
      </c>
      <c r="N223" s="24">
        <v>0.029166666666666664</v>
      </c>
      <c r="O223" s="24" t="s">
        <v>384</v>
      </c>
      <c r="P223" s="18"/>
      <c r="Q223" s="24"/>
    </row>
    <row r="224" spans="1:17" ht="12.75">
      <c r="A224">
        <f t="shared" si="8"/>
        <v>213</v>
      </c>
      <c r="B224" s="22">
        <v>36835</v>
      </c>
      <c r="C224" s="18" t="s">
        <v>209</v>
      </c>
      <c r="D224" s="18" t="s">
        <v>521</v>
      </c>
      <c r="E224" s="18" t="s">
        <v>470</v>
      </c>
      <c r="F224" s="18" t="s">
        <v>210</v>
      </c>
      <c r="G224" s="18" t="s">
        <v>211</v>
      </c>
      <c r="H224" s="18">
        <v>9</v>
      </c>
      <c r="I224" s="24">
        <v>0.24515046296296297</v>
      </c>
      <c r="J224" s="20">
        <v>0.05033564814814815</v>
      </c>
      <c r="K224" s="18"/>
      <c r="L224" s="24">
        <v>0.12490740740740741</v>
      </c>
      <c r="M224" s="24"/>
      <c r="N224" s="24">
        <v>0.0699074074074074</v>
      </c>
      <c r="O224" s="18" t="s">
        <v>33</v>
      </c>
      <c r="P224" s="18"/>
      <c r="Q224" s="18" t="s">
        <v>33</v>
      </c>
    </row>
    <row r="225" spans="1:17" ht="12.75">
      <c r="A225">
        <f t="shared" si="8"/>
        <v>214</v>
      </c>
      <c r="B225" s="22">
        <v>36953</v>
      </c>
      <c r="C225" s="16" t="s">
        <v>386</v>
      </c>
      <c r="D225" s="16" t="s">
        <v>387</v>
      </c>
      <c r="E225" s="16" t="s">
        <v>469</v>
      </c>
      <c r="F225" s="23" t="s">
        <v>202</v>
      </c>
      <c r="G225" s="32" t="s">
        <v>249</v>
      </c>
      <c r="H225" s="18">
        <v>6</v>
      </c>
      <c r="I225" s="24">
        <v>0.36415509259259254</v>
      </c>
      <c r="J225" s="20">
        <v>0.03550925925925926</v>
      </c>
      <c r="K225" s="32">
        <v>0.001574074074074074</v>
      </c>
      <c r="L225" s="24">
        <v>0.19737268518518516</v>
      </c>
      <c r="M225" s="24">
        <v>0.0009722222222222221</v>
      </c>
      <c r="N225" s="24">
        <v>0.12872685185185184</v>
      </c>
      <c r="O225" s="24" t="s">
        <v>431</v>
      </c>
      <c r="P225" s="18"/>
      <c r="Q225" s="24"/>
    </row>
    <row r="226" spans="1:17" ht="12.75">
      <c r="A226">
        <f t="shared" si="8"/>
        <v>215</v>
      </c>
      <c r="B226" s="22">
        <v>37017</v>
      </c>
      <c r="C226" s="16" t="s">
        <v>25</v>
      </c>
      <c r="D226" s="18" t="s">
        <v>521</v>
      </c>
      <c r="E226" s="18" t="s">
        <v>469</v>
      </c>
      <c r="F226" s="23" t="s">
        <v>172</v>
      </c>
      <c r="G226" s="32" t="s">
        <v>63</v>
      </c>
      <c r="H226" s="18">
        <v>1</v>
      </c>
      <c r="I226" s="24">
        <v>0.0756712962962963</v>
      </c>
      <c r="J226" s="20">
        <v>0.008819444444444444</v>
      </c>
      <c r="K226" s="32">
        <v>0.0007638888888888889</v>
      </c>
      <c r="L226" s="24">
        <v>0.041574074074074076</v>
      </c>
      <c r="M226" s="24">
        <v>0.00034722222222222224</v>
      </c>
      <c r="N226" s="24">
        <v>0.024166666666666666</v>
      </c>
      <c r="O226" s="24" t="s">
        <v>388</v>
      </c>
      <c r="P226" s="18"/>
      <c r="Q226" s="24"/>
    </row>
    <row r="227" spans="1:17" ht="12.75">
      <c r="A227">
        <f t="shared" si="8"/>
        <v>216</v>
      </c>
      <c r="B227" s="22">
        <v>37023</v>
      </c>
      <c r="C227" s="16" t="s">
        <v>358</v>
      </c>
      <c r="D227" s="18" t="s">
        <v>359</v>
      </c>
      <c r="E227" s="18" t="s">
        <v>469</v>
      </c>
      <c r="F227" s="23" t="s">
        <v>175</v>
      </c>
      <c r="G227" s="32" t="s">
        <v>86</v>
      </c>
      <c r="H227" s="18">
        <v>3</v>
      </c>
      <c r="I227" s="24">
        <v>0.17114583333333333</v>
      </c>
      <c r="J227" s="20">
        <v>0.018530092592592595</v>
      </c>
      <c r="K227" s="32">
        <v>0.0015162037037037036</v>
      </c>
      <c r="L227" s="24">
        <v>0.09269675925925926</v>
      </c>
      <c r="M227" s="24">
        <v>0.000787037037037037</v>
      </c>
      <c r="N227" s="24">
        <v>0.05766203703703704</v>
      </c>
      <c r="O227" s="24" t="s">
        <v>500</v>
      </c>
      <c r="P227" s="18"/>
      <c r="Q227" s="24"/>
    </row>
    <row r="228" spans="1:17" ht="12.75">
      <c r="A228">
        <f t="shared" si="8"/>
        <v>217</v>
      </c>
      <c r="B228" s="22">
        <v>37031</v>
      </c>
      <c r="C228" s="16" t="s">
        <v>389</v>
      </c>
      <c r="D228" s="18" t="s">
        <v>359</v>
      </c>
      <c r="E228" s="18" t="s">
        <v>469</v>
      </c>
      <c r="F228" s="23" t="s">
        <v>268</v>
      </c>
      <c r="G228" s="32" t="s">
        <v>390</v>
      </c>
      <c r="H228" s="18">
        <v>1</v>
      </c>
      <c r="I228" s="24">
        <v>0.04415509259259259</v>
      </c>
      <c r="J228" s="20">
        <v>0.008333333333333333</v>
      </c>
      <c r="K228" s="18"/>
      <c r="L228" s="24">
        <v>0.02291666666666667</v>
      </c>
      <c r="M228" s="24">
        <f>I228-N228-L228-J228</f>
        <v>0.00040509259259259404</v>
      </c>
      <c r="N228" s="24">
        <v>0.0125</v>
      </c>
      <c r="O228" s="32" t="s">
        <v>501</v>
      </c>
      <c r="P228" s="18"/>
      <c r="Q228" s="18"/>
    </row>
    <row r="229" spans="1:17" ht="12.75">
      <c r="A229">
        <f t="shared" si="8"/>
        <v>218</v>
      </c>
      <c r="B229" s="22">
        <v>37046</v>
      </c>
      <c r="C229" s="16" t="s">
        <v>89</v>
      </c>
      <c r="D229" s="18" t="s">
        <v>521</v>
      </c>
      <c r="E229" s="18" t="s">
        <v>469</v>
      </c>
      <c r="F229" s="23" t="s">
        <v>98</v>
      </c>
      <c r="G229" s="32" t="s">
        <v>99</v>
      </c>
      <c r="H229" s="18">
        <v>24</v>
      </c>
      <c r="I229" s="24">
        <v>0.07836805555555555</v>
      </c>
      <c r="J229" s="20">
        <v>0.014571759259259258</v>
      </c>
      <c r="K229" s="18"/>
      <c r="L229" s="24">
        <v>0.04020833333333333</v>
      </c>
      <c r="M229" s="24">
        <f>I229-N229-L229-J229</f>
        <v>0</v>
      </c>
      <c r="N229" s="24">
        <v>0.023587962962962963</v>
      </c>
      <c r="O229" s="24" t="s">
        <v>528</v>
      </c>
      <c r="P229" s="18"/>
      <c r="Q229" s="18"/>
    </row>
    <row r="230" spans="1:17" ht="12.75">
      <c r="A230">
        <f t="shared" si="8"/>
        <v>219</v>
      </c>
      <c r="B230" s="22">
        <v>37066</v>
      </c>
      <c r="C230" s="16" t="s">
        <v>90</v>
      </c>
      <c r="D230" s="18" t="s">
        <v>521</v>
      </c>
      <c r="E230" s="18" t="s">
        <v>469</v>
      </c>
      <c r="F230" s="23" t="s">
        <v>98</v>
      </c>
      <c r="G230" s="32" t="s">
        <v>99</v>
      </c>
      <c r="H230" s="18">
        <v>16</v>
      </c>
      <c r="I230" s="24">
        <v>0.07534722222222222</v>
      </c>
      <c r="J230" s="20">
        <v>0.014027777777777778</v>
      </c>
      <c r="K230" s="18"/>
      <c r="L230" s="24">
        <v>0.03802083333333333</v>
      </c>
      <c r="M230" s="24">
        <f>I230-N230-L230-J230</f>
        <v>0</v>
      </c>
      <c r="N230" s="24">
        <v>0.023298611111111107</v>
      </c>
      <c r="O230" s="24" t="s">
        <v>530</v>
      </c>
      <c r="P230" s="18"/>
      <c r="Q230" s="18"/>
    </row>
    <row r="231" spans="1:17" ht="12.75">
      <c r="A231">
        <f t="shared" si="8"/>
        <v>220</v>
      </c>
      <c r="B231" s="22">
        <v>37073</v>
      </c>
      <c r="C231" s="16" t="s">
        <v>92</v>
      </c>
      <c r="D231" s="18" t="s">
        <v>521</v>
      </c>
      <c r="E231" s="18" t="s">
        <v>469</v>
      </c>
      <c r="F231" s="23" t="s">
        <v>189</v>
      </c>
      <c r="G231" s="32" t="s">
        <v>391</v>
      </c>
      <c r="H231" s="18">
        <v>4</v>
      </c>
      <c r="I231" s="24">
        <v>0.23693287037037036</v>
      </c>
      <c r="J231" s="20">
        <v>0.02694444444444444</v>
      </c>
      <c r="K231" s="24">
        <v>0.0008449074074074075</v>
      </c>
      <c r="L231" s="24">
        <v>0.1210300925925926</v>
      </c>
      <c r="M231" s="24">
        <v>0.0013773148148148147</v>
      </c>
      <c r="N231" s="24">
        <v>0.0867013888888889</v>
      </c>
      <c r="O231" s="32" t="s">
        <v>534</v>
      </c>
      <c r="P231" s="18"/>
      <c r="Q231" s="18"/>
    </row>
    <row r="232" spans="1:17" ht="12.75">
      <c r="A232">
        <f t="shared" si="8"/>
        <v>221</v>
      </c>
      <c r="B232" s="22">
        <v>37079</v>
      </c>
      <c r="C232" s="16" t="s">
        <v>38</v>
      </c>
      <c r="D232" s="18" t="s">
        <v>521</v>
      </c>
      <c r="E232" s="18" t="s">
        <v>469</v>
      </c>
      <c r="F232" s="23" t="s">
        <v>98</v>
      </c>
      <c r="G232" s="32" t="s">
        <v>99</v>
      </c>
      <c r="H232" s="18">
        <v>11</v>
      </c>
      <c r="I232" s="24">
        <v>0.07854166666666666</v>
      </c>
      <c r="J232" s="20">
        <v>0.014675925925925926</v>
      </c>
      <c r="K232" s="18"/>
      <c r="L232" s="24">
        <v>0.0402662037037037</v>
      </c>
      <c r="M232" s="24">
        <f>I232-N232-L232-J232</f>
        <v>0.000428240740740736</v>
      </c>
      <c r="N232" s="24">
        <v>0.023171296296296297</v>
      </c>
      <c r="O232" s="18" t="s">
        <v>529</v>
      </c>
      <c r="P232" s="18"/>
      <c r="Q232" s="18" t="s">
        <v>33</v>
      </c>
    </row>
    <row r="233" spans="1:17" ht="12.75">
      <c r="A233">
        <f t="shared" si="8"/>
        <v>222</v>
      </c>
      <c r="B233" s="22">
        <v>37108</v>
      </c>
      <c r="C233" s="16" t="s">
        <v>392</v>
      </c>
      <c r="D233" s="18" t="s">
        <v>393</v>
      </c>
      <c r="E233" s="18" t="s">
        <v>469</v>
      </c>
      <c r="F233" s="23" t="s">
        <v>202</v>
      </c>
      <c r="G233" s="32" t="s">
        <v>249</v>
      </c>
      <c r="H233" s="18">
        <v>15</v>
      </c>
      <c r="I233" s="24">
        <v>0.37146990740740743</v>
      </c>
      <c r="J233" s="20">
        <v>0.03585648148148148</v>
      </c>
      <c r="K233" s="24">
        <v>0.0010648148148148147</v>
      </c>
      <c r="L233" s="24">
        <v>0.20199074074074075</v>
      </c>
      <c r="M233" s="24">
        <v>0.0019328703703703704</v>
      </c>
      <c r="N233" s="24">
        <v>0.130625</v>
      </c>
      <c r="O233" s="18" t="s">
        <v>394</v>
      </c>
      <c r="P233" s="18"/>
      <c r="Q233" s="18" t="s">
        <v>190</v>
      </c>
    </row>
    <row r="234" spans="1:17" ht="12.75">
      <c r="A234">
        <f t="shared" si="8"/>
        <v>223</v>
      </c>
      <c r="B234" s="22">
        <v>37121</v>
      </c>
      <c r="C234" s="16" t="s">
        <v>144</v>
      </c>
      <c r="D234" s="18" t="s">
        <v>521</v>
      </c>
      <c r="E234" s="18" t="s">
        <v>469</v>
      </c>
      <c r="F234" s="23" t="s">
        <v>402</v>
      </c>
      <c r="G234" s="32" t="s">
        <v>395</v>
      </c>
      <c r="H234" s="18">
        <v>2</v>
      </c>
      <c r="I234" s="24">
        <v>0.08884259259259258</v>
      </c>
      <c r="J234" s="20">
        <v>0.020833333333333332</v>
      </c>
      <c r="K234" s="24">
        <v>0.0010648148148148147</v>
      </c>
      <c r="L234" s="24">
        <v>0.0427662037037037</v>
      </c>
      <c r="M234" s="24">
        <v>0.0007291666666666667</v>
      </c>
      <c r="N234" s="24">
        <v>0.02344907407407407</v>
      </c>
      <c r="O234" s="18" t="s">
        <v>384</v>
      </c>
      <c r="P234" s="18"/>
      <c r="Q234" s="18"/>
    </row>
    <row r="235" spans="1:17" ht="12.75">
      <c r="A235">
        <f t="shared" si="8"/>
        <v>224</v>
      </c>
      <c r="B235" s="22">
        <v>37134</v>
      </c>
      <c r="C235" s="16" t="s">
        <v>201</v>
      </c>
      <c r="D235" s="18" t="s">
        <v>521</v>
      </c>
      <c r="E235" s="18" t="s">
        <v>469</v>
      </c>
      <c r="F235" s="23" t="s">
        <v>98</v>
      </c>
      <c r="G235" s="32" t="s">
        <v>99</v>
      </c>
      <c r="H235" s="18">
        <v>14</v>
      </c>
      <c r="I235" s="24">
        <v>0.07680555555555556</v>
      </c>
      <c r="J235" s="20">
        <v>0.013819444444444445</v>
      </c>
      <c r="K235" s="18"/>
      <c r="L235" s="24">
        <v>0.040625</v>
      </c>
      <c r="M235" s="24">
        <f>I235-N235-L235-J235</f>
        <v>0</v>
      </c>
      <c r="N235" s="24">
        <v>0.022361111111111113</v>
      </c>
      <c r="O235" s="18" t="s">
        <v>48</v>
      </c>
      <c r="P235" s="18"/>
      <c r="Q235" s="18"/>
    </row>
    <row r="236" spans="1:17" ht="12.75">
      <c r="A236">
        <f t="shared" si="8"/>
        <v>225</v>
      </c>
      <c r="B236" s="22">
        <v>37143</v>
      </c>
      <c r="C236" s="16" t="s">
        <v>334</v>
      </c>
      <c r="D236" s="18" t="s">
        <v>148</v>
      </c>
      <c r="E236" s="18" t="s">
        <v>469</v>
      </c>
      <c r="F236" s="23" t="s">
        <v>268</v>
      </c>
      <c r="G236" s="32" t="s">
        <v>375</v>
      </c>
      <c r="H236" s="18">
        <v>7</v>
      </c>
      <c r="I236" s="24">
        <v>0.03934027777777777</v>
      </c>
      <c r="J236" s="20">
        <v>0.004166666666666667</v>
      </c>
      <c r="K236" s="18"/>
      <c r="L236" s="24">
        <v>0.020833333333333332</v>
      </c>
      <c r="M236" s="24">
        <f>I236-N236-L236-J236</f>
        <v>0.0025347222222222186</v>
      </c>
      <c r="N236" s="24">
        <v>0.011805555555555555</v>
      </c>
      <c r="O236" s="18"/>
      <c r="P236" s="18"/>
      <c r="Q236" s="18"/>
    </row>
    <row r="237" spans="1:17" ht="12.75">
      <c r="A237">
        <f t="shared" si="8"/>
        <v>226</v>
      </c>
      <c r="B237" s="22">
        <v>37170</v>
      </c>
      <c r="C237" s="16" t="s">
        <v>367</v>
      </c>
      <c r="D237" s="18" t="s">
        <v>359</v>
      </c>
      <c r="E237" s="18" t="s">
        <v>469</v>
      </c>
      <c r="F237" s="23" t="s">
        <v>202</v>
      </c>
      <c r="G237" s="32" t="s">
        <v>249</v>
      </c>
      <c r="H237" s="18">
        <v>58</v>
      </c>
      <c r="I237" s="24">
        <v>0.40640046296296295</v>
      </c>
      <c r="J237" s="20">
        <v>0.03888888888888889</v>
      </c>
      <c r="K237" s="18"/>
      <c r="L237" s="24">
        <v>0.21736111111111112</v>
      </c>
      <c r="M237" s="24">
        <f>I237-N237-L237-J237</f>
        <v>0.0029282407407406896</v>
      </c>
      <c r="N237" s="24">
        <v>0.14722222222222223</v>
      </c>
      <c r="O237" s="18" t="s">
        <v>430</v>
      </c>
      <c r="P237" s="18"/>
      <c r="Q237" s="18"/>
    </row>
    <row r="238" spans="1:17" ht="12.75">
      <c r="A238">
        <f t="shared" si="8"/>
        <v>227</v>
      </c>
      <c r="B238" s="22">
        <v>37198</v>
      </c>
      <c r="C238" s="18" t="s">
        <v>209</v>
      </c>
      <c r="D238" s="18" t="s">
        <v>521</v>
      </c>
      <c r="E238" s="18" t="s">
        <v>470</v>
      </c>
      <c r="F238" s="18" t="s">
        <v>210</v>
      </c>
      <c r="G238" s="18" t="s">
        <v>211</v>
      </c>
      <c r="H238" s="18">
        <v>2</v>
      </c>
      <c r="I238" s="24">
        <v>0.2232060185185185</v>
      </c>
      <c r="J238" s="20">
        <v>0.04936342592592593</v>
      </c>
      <c r="K238" s="18"/>
      <c r="L238" s="24">
        <v>0.11552083333333334</v>
      </c>
      <c r="M238" s="24"/>
      <c r="N238" s="24">
        <v>0.058460648148148144</v>
      </c>
      <c r="O238" s="18"/>
      <c r="P238" s="18"/>
      <c r="Q238" s="18" t="s">
        <v>33</v>
      </c>
    </row>
    <row r="239" spans="1:17" ht="12.75">
      <c r="A239">
        <f t="shared" si="8"/>
        <v>228</v>
      </c>
      <c r="B239" s="22">
        <v>37318</v>
      </c>
      <c r="C239" s="16" t="s">
        <v>25</v>
      </c>
      <c r="D239" s="18" t="s">
        <v>521</v>
      </c>
      <c r="E239" s="16" t="s">
        <v>448</v>
      </c>
      <c r="F239" s="31" t="s">
        <v>268</v>
      </c>
      <c r="G239" s="32" t="s">
        <v>422</v>
      </c>
      <c r="H239" s="18">
        <v>2</v>
      </c>
      <c r="I239" s="24">
        <v>0.048495370370370376</v>
      </c>
      <c r="J239" s="20"/>
      <c r="K239" s="18"/>
      <c r="L239" s="24">
        <v>0.03125</v>
      </c>
      <c r="M239" s="18"/>
      <c r="N239" s="24">
        <v>0.015972222222222224</v>
      </c>
      <c r="O239" s="16" t="s">
        <v>339</v>
      </c>
      <c r="P239" s="18"/>
      <c r="Q239" s="18"/>
    </row>
    <row r="240" spans="1:17" ht="12.75">
      <c r="A240">
        <f t="shared" si="8"/>
        <v>229</v>
      </c>
      <c r="B240" s="22">
        <v>37353</v>
      </c>
      <c r="C240" s="16" t="s">
        <v>398</v>
      </c>
      <c r="D240" s="16" t="s">
        <v>399</v>
      </c>
      <c r="E240" s="16" t="s">
        <v>469</v>
      </c>
      <c r="F240" s="23" t="s">
        <v>202</v>
      </c>
      <c r="G240" s="32" t="s">
        <v>249</v>
      </c>
      <c r="H240" s="18">
        <v>16</v>
      </c>
      <c r="I240" s="24">
        <v>0.3743518518518518</v>
      </c>
      <c r="J240" s="20">
        <v>0.03508101851851852</v>
      </c>
      <c r="K240" s="18"/>
      <c r="L240" s="24">
        <v>0.2058333333333333</v>
      </c>
      <c r="M240" s="18"/>
      <c r="N240" s="24">
        <v>0.1334375</v>
      </c>
      <c r="O240" s="16" t="s">
        <v>428</v>
      </c>
      <c r="P240" s="18"/>
      <c r="Q240" s="18"/>
    </row>
    <row r="241" spans="1:17" ht="12.75">
      <c r="A241">
        <f t="shared" si="8"/>
        <v>230</v>
      </c>
      <c r="B241" s="22">
        <v>37388</v>
      </c>
      <c r="C241" s="16" t="s">
        <v>25</v>
      </c>
      <c r="D241" s="18" t="s">
        <v>521</v>
      </c>
      <c r="E241" s="18" t="s">
        <v>469</v>
      </c>
      <c r="F241" s="23" t="s">
        <v>172</v>
      </c>
      <c r="G241" s="32" t="s">
        <v>63</v>
      </c>
      <c r="H241" s="18">
        <v>1</v>
      </c>
      <c r="I241" s="24">
        <v>0.07618055555555556</v>
      </c>
      <c r="J241" s="20">
        <v>0.009363425925925926</v>
      </c>
      <c r="K241" s="24">
        <v>0.0007060185185185185</v>
      </c>
      <c r="L241" s="24">
        <v>0.04171296296296296</v>
      </c>
      <c r="M241" s="24">
        <v>0.00035879629629629635</v>
      </c>
      <c r="N241" s="24">
        <v>0.024039351851851853</v>
      </c>
      <c r="O241" s="16" t="s">
        <v>400</v>
      </c>
      <c r="P241" s="18"/>
      <c r="Q241" s="18"/>
    </row>
    <row r="242" spans="1:17" ht="12.75">
      <c r="A242">
        <f t="shared" si="8"/>
        <v>231</v>
      </c>
      <c r="B242" s="22">
        <v>37402</v>
      </c>
      <c r="C242" s="16" t="s">
        <v>308</v>
      </c>
      <c r="D242" s="18" t="s">
        <v>521</v>
      </c>
      <c r="E242" s="18" t="s">
        <v>469</v>
      </c>
      <c r="F242" s="23" t="s">
        <v>175</v>
      </c>
      <c r="G242" s="32" t="s">
        <v>401</v>
      </c>
      <c r="H242" s="18">
        <v>3</v>
      </c>
      <c r="I242" s="24">
        <v>0.16806712962962964</v>
      </c>
      <c r="J242" s="20">
        <v>0.023402777777777783</v>
      </c>
      <c r="K242" s="18"/>
      <c r="L242" s="24">
        <v>0.09326388888888888</v>
      </c>
      <c r="M242" s="24">
        <f>I242-N242-L242-J242</f>
        <v>0</v>
      </c>
      <c r="N242" s="24">
        <v>0.05140046296296297</v>
      </c>
      <c r="O242" s="64" t="s">
        <v>540</v>
      </c>
      <c r="P242" s="18"/>
      <c r="Q242" s="18" t="s">
        <v>33</v>
      </c>
    </row>
    <row r="243" spans="1:17" ht="12.75">
      <c r="A243">
        <f t="shared" si="8"/>
        <v>232</v>
      </c>
      <c r="B243" s="22">
        <v>37409</v>
      </c>
      <c r="C243" s="16" t="s">
        <v>89</v>
      </c>
      <c r="D243" s="18" t="s">
        <v>521</v>
      </c>
      <c r="E243" s="18" t="s">
        <v>469</v>
      </c>
      <c r="F243" s="23" t="s">
        <v>98</v>
      </c>
      <c r="G243" s="32" t="s">
        <v>99</v>
      </c>
      <c r="H243" s="18">
        <v>37</v>
      </c>
      <c r="I243" s="24">
        <v>0.076875</v>
      </c>
      <c r="J243" s="20">
        <v>0.013680555555555555</v>
      </c>
      <c r="K243" s="18"/>
      <c r="L243" s="24">
        <v>0.03922453703703704</v>
      </c>
      <c r="M243" s="18"/>
      <c r="N243" s="24">
        <v>0.02383101851851852</v>
      </c>
      <c r="O243" s="16" t="s">
        <v>541</v>
      </c>
      <c r="P243" s="18"/>
      <c r="Q243" s="18" t="s">
        <v>33</v>
      </c>
    </row>
    <row r="244" spans="1:17" ht="12.75">
      <c r="A244">
        <f t="shared" si="8"/>
        <v>233</v>
      </c>
      <c r="B244" s="22">
        <v>37430</v>
      </c>
      <c r="C244" s="16" t="s">
        <v>92</v>
      </c>
      <c r="D244" s="18" t="s">
        <v>521</v>
      </c>
      <c r="E244" s="18" t="s">
        <v>469</v>
      </c>
      <c r="F244" s="23" t="s">
        <v>189</v>
      </c>
      <c r="G244" s="32" t="s">
        <v>391</v>
      </c>
      <c r="H244" s="18">
        <v>4</v>
      </c>
      <c r="I244" s="24">
        <v>0.24028935185185185</v>
      </c>
      <c r="J244" s="20">
        <v>0.02849537037037037</v>
      </c>
      <c r="K244" s="24">
        <v>0.000798611111111111</v>
      </c>
      <c r="L244" s="24">
        <v>0.12202546296296296</v>
      </c>
      <c r="M244" s="24">
        <v>0.0013194444444444443</v>
      </c>
      <c r="N244" s="24">
        <v>0.08765046296296297</v>
      </c>
      <c r="O244" s="16" t="s">
        <v>534</v>
      </c>
      <c r="P244" s="18"/>
      <c r="Q244" s="18"/>
    </row>
    <row r="245" spans="1:17" ht="12.75">
      <c r="A245">
        <f t="shared" si="8"/>
        <v>234</v>
      </c>
      <c r="B245" s="22">
        <v>37436</v>
      </c>
      <c r="C245" s="16" t="s">
        <v>38</v>
      </c>
      <c r="D245" s="18" t="s">
        <v>521</v>
      </c>
      <c r="E245" s="18" t="s">
        <v>469</v>
      </c>
      <c r="F245" s="23" t="s">
        <v>98</v>
      </c>
      <c r="G245" s="32" t="s">
        <v>99</v>
      </c>
      <c r="H245" s="18">
        <v>22</v>
      </c>
      <c r="I245" s="24">
        <v>0.0783449074074074</v>
      </c>
      <c r="J245" s="20">
        <v>0.013252314814814814</v>
      </c>
      <c r="K245" s="18"/>
      <c r="L245" s="24">
        <v>0.04231481481481481</v>
      </c>
      <c r="M245" s="18"/>
      <c r="N245" s="24">
        <v>0.022777777777777775</v>
      </c>
      <c r="O245" s="18" t="s">
        <v>328</v>
      </c>
      <c r="P245" s="18"/>
      <c r="Q245" s="18"/>
    </row>
    <row r="246" spans="1:17" ht="12.75">
      <c r="A246">
        <f t="shared" si="8"/>
        <v>235</v>
      </c>
      <c r="B246" s="22">
        <v>37444</v>
      </c>
      <c r="C246" s="16" t="s">
        <v>149</v>
      </c>
      <c r="D246" s="18" t="s">
        <v>148</v>
      </c>
      <c r="E246" s="18" t="s">
        <v>469</v>
      </c>
      <c r="F246" s="23" t="s">
        <v>172</v>
      </c>
      <c r="G246" s="32" t="s">
        <v>273</v>
      </c>
      <c r="H246" s="18">
        <v>3</v>
      </c>
      <c r="I246" s="24">
        <v>0.07085648148148148</v>
      </c>
      <c r="J246" s="20">
        <v>0.008715277777777778</v>
      </c>
      <c r="K246" s="18"/>
      <c r="L246" s="24">
        <v>0.0396875</v>
      </c>
      <c r="M246" s="24">
        <f>I246-N246-L246-J246</f>
        <v>1.1574074074068366E-05</v>
      </c>
      <c r="N246" s="24">
        <v>0.02244212962962963</v>
      </c>
      <c r="O246" s="18"/>
      <c r="P246" s="18"/>
      <c r="Q246" s="18"/>
    </row>
    <row r="247" spans="1:17" ht="12.75">
      <c r="A247">
        <f t="shared" si="8"/>
        <v>236</v>
      </c>
      <c r="B247" s="22">
        <v>37457</v>
      </c>
      <c r="C247" s="18" t="s">
        <v>144</v>
      </c>
      <c r="D247" s="18" t="s">
        <v>521</v>
      </c>
      <c r="E247" s="18" t="s">
        <v>448</v>
      </c>
      <c r="F247" s="16" t="s">
        <v>402</v>
      </c>
      <c r="G247" s="18" t="s">
        <v>403</v>
      </c>
      <c r="H247" s="18">
        <v>5</v>
      </c>
      <c r="I247" s="24">
        <v>0.061620370370370374</v>
      </c>
      <c r="J247" s="20">
        <v>0.004409722222222222</v>
      </c>
      <c r="K247" s="24">
        <v>0.00047453703703703704</v>
      </c>
      <c r="L247" s="24">
        <v>0.040486111111111105</v>
      </c>
      <c r="M247" s="24">
        <v>0.000636574074074074</v>
      </c>
      <c r="N247" s="20">
        <v>0.015625</v>
      </c>
      <c r="O247" s="16" t="s">
        <v>384</v>
      </c>
      <c r="P247" s="18"/>
      <c r="Q247" s="18"/>
    </row>
    <row r="248" spans="1:17" ht="12.75">
      <c r="A248">
        <f t="shared" si="8"/>
        <v>237</v>
      </c>
      <c r="B248" s="22">
        <v>37472</v>
      </c>
      <c r="C248" s="16" t="s">
        <v>404</v>
      </c>
      <c r="D248" s="18" t="s">
        <v>232</v>
      </c>
      <c r="E248" s="18" t="s">
        <v>469</v>
      </c>
      <c r="F248" s="23" t="s">
        <v>175</v>
      </c>
      <c r="G248" s="32" t="s">
        <v>405</v>
      </c>
      <c r="H248" s="18">
        <v>4</v>
      </c>
      <c r="I248" s="24">
        <v>0.17754629629629629</v>
      </c>
      <c r="J248" s="20">
        <v>0.02585648148148148</v>
      </c>
      <c r="K248" s="18"/>
      <c r="L248" s="24">
        <v>0.09780092592592593</v>
      </c>
      <c r="M248" s="18"/>
      <c r="N248" s="24">
        <v>0.053888888888888896</v>
      </c>
      <c r="O248" s="18"/>
      <c r="P248" s="18"/>
      <c r="Q248" s="18"/>
    </row>
    <row r="249" spans="1:17" ht="12.75">
      <c r="A249">
        <f t="shared" si="8"/>
        <v>238</v>
      </c>
      <c r="B249" s="22">
        <v>37486</v>
      </c>
      <c r="C249" s="16" t="s">
        <v>406</v>
      </c>
      <c r="D249" s="18" t="s">
        <v>316</v>
      </c>
      <c r="E249" s="18" t="s">
        <v>469</v>
      </c>
      <c r="F249" s="23" t="s">
        <v>268</v>
      </c>
      <c r="G249" s="32" t="s">
        <v>335</v>
      </c>
      <c r="H249" s="18">
        <v>2</v>
      </c>
      <c r="I249" s="24">
        <v>0.04421296296296296</v>
      </c>
      <c r="J249" s="20"/>
      <c r="K249" s="18"/>
      <c r="L249" s="24"/>
      <c r="M249" s="18"/>
      <c r="N249" s="24"/>
      <c r="O249" s="18"/>
      <c r="P249" s="18" t="s">
        <v>397</v>
      </c>
      <c r="Q249" s="18"/>
    </row>
    <row r="250" spans="1:17" ht="12.75">
      <c r="A250">
        <f t="shared" si="8"/>
        <v>239</v>
      </c>
      <c r="B250" s="22">
        <v>37506</v>
      </c>
      <c r="C250" s="18" t="s">
        <v>407</v>
      </c>
      <c r="D250" s="18" t="s">
        <v>521</v>
      </c>
      <c r="E250" s="18" t="s">
        <v>448</v>
      </c>
      <c r="F250" s="16" t="s">
        <v>267</v>
      </c>
      <c r="G250" s="18" t="s">
        <v>205</v>
      </c>
      <c r="H250" s="18">
        <v>3</v>
      </c>
      <c r="I250" s="24">
        <v>0.07611111111111112</v>
      </c>
      <c r="J250" s="20"/>
      <c r="K250" s="18"/>
      <c r="L250" s="18"/>
      <c r="M250" s="18"/>
      <c r="N250" s="20"/>
      <c r="O250" s="18" t="s">
        <v>33</v>
      </c>
      <c r="P250" s="18"/>
      <c r="Q250" s="18" t="s">
        <v>33</v>
      </c>
    </row>
    <row r="251" spans="1:17" ht="12.75">
      <c r="A251">
        <f t="shared" si="8"/>
        <v>240</v>
      </c>
      <c r="B251" s="22">
        <v>37521</v>
      </c>
      <c r="C251" s="16" t="s">
        <v>188</v>
      </c>
      <c r="D251" s="18" t="s">
        <v>316</v>
      </c>
      <c r="E251" s="18" t="s">
        <v>469</v>
      </c>
      <c r="F251" s="23" t="s">
        <v>189</v>
      </c>
      <c r="G251" s="32" t="s">
        <v>408</v>
      </c>
      <c r="H251" s="18">
        <v>16</v>
      </c>
      <c r="I251" s="24">
        <v>0.2768981481481481</v>
      </c>
      <c r="J251" s="20">
        <v>0.03993055555555556</v>
      </c>
      <c r="K251" s="24">
        <v>0.0017013888888888892</v>
      </c>
      <c r="L251" s="24">
        <v>0.1471412037037037</v>
      </c>
      <c r="M251" s="24">
        <v>0.0014814814814814814</v>
      </c>
      <c r="N251" s="24">
        <v>0.08664351851851852</v>
      </c>
      <c r="O251" s="18" t="s">
        <v>190</v>
      </c>
      <c r="P251" s="18"/>
      <c r="Q251" s="18" t="s">
        <v>190</v>
      </c>
    </row>
    <row r="252" spans="1:17" ht="12.75">
      <c r="A252">
        <f t="shared" si="8"/>
        <v>241</v>
      </c>
      <c r="B252" s="22">
        <v>37555</v>
      </c>
      <c r="C252" s="18" t="s">
        <v>209</v>
      </c>
      <c r="D252" s="18" t="s">
        <v>521</v>
      </c>
      <c r="E252" s="18" t="s">
        <v>470</v>
      </c>
      <c r="F252" s="18" t="s">
        <v>210</v>
      </c>
      <c r="G252" s="18" t="s">
        <v>211</v>
      </c>
      <c r="H252" s="18">
        <v>2</v>
      </c>
      <c r="I252" s="24">
        <v>0.2310185185185185</v>
      </c>
      <c r="J252" s="20"/>
      <c r="K252" s="18"/>
      <c r="L252" s="18"/>
      <c r="M252" s="18"/>
      <c r="N252" s="18"/>
      <c r="O252" s="18"/>
      <c r="P252" s="18"/>
      <c r="Q252" s="18" t="s">
        <v>33</v>
      </c>
    </row>
    <row r="253" spans="1:17" ht="12.75">
      <c r="A253">
        <f t="shared" si="8"/>
        <v>242</v>
      </c>
      <c r="B253" s="22">
        <v>37569</v>
      </c>
      <c r="C253" s="16" t="s">
        <v>358</v>
      </c>
      <c r="D253" s="18" t="s">
        <v>359</v>
      </c>
      <c r="E253" s="18" t="s">
        <v>469</v>
      </c>
      <c r="F253" s="23" t="s">
        <v>202</v>
      </c>
      <c r="G253" s="32" t="s">
        <v>249</v>
      </c>
      <c r="H253" s="18">
        <v>32</v>
      </c>
      <c r="I253" s="24">
        <v>0.3982175925925926</v>
      </c>
      <c r="J253" s="20">
        <v>0.038078703703703705</v>
      </c>
      <c r="K253" s="24">
        <v>0.001689814814814815</v>
      </c>
      <c r="L253" s="24">
        <v>0.20616898148148147</v>
      </c>
      <c r="M253" s="24">
        <v>0.0014583333333333334</v>
      </c>
      <c r="N253" s="24">
        <v>0.15085648148148148</v>
      </c>
      <c r="O253" s="18" t="s">
        <v>429</v>
      </c>
      <c r="P253" s="18"/>
      <c r="Q253" s="18"/>
    </row>
    <row r="254" spans="1:17" ht="12.75">
      <c r="A254">
        <f t="shared" si="8"/>
        <v>243</v>
      </c>
      <c r="B254" s="22">
        <v>37660</v>
      </c>
      <c r="C254" s="18" t="s">
        <v>413</v>
      </c>
      <c r="D254" s="18" t="s">
        <v>148</v>
      </c>
      <c r="E254" s="18" t="s">
        <v>470</v>
      </c>
      <c r="F254" s="18" t="s">
        <v>50</v>
      </c>
      <c r="G254" s="18" t="s">
        <v>544</v>
      </c>
      <c r="H254" s="18">
        <v>2</v>
      </c>
      <c r="I254" s="24">
        <v>0.0910763888888889</v>
      </c>
      <c r="J254" s="20">
        <v>0.029953703703703705</v>
      </c>
      <c r="K254" s="18"/>
      <c r="L254" s="24">
        <v>0.031018518518518515</v>
      </c>
      <c r="M254" s="18"/>
      <c r="N254" s="24">
        <v>0.030104166666666668</v>
      </c>
      <c r="O254" s="16" t="s">
        <v>339</v>
      </c>
      <c r="P254" s="18"/>
      <c r="Q254" s="18"/>
    </row>
    <row r="255" spans="1:17" ht="12.75">
      <c r="A255">
        <f t="shared" si="8"/>
        <v>244</v>
      </c>
      <c r="B255" s="22">
        <v>37744</v>
      </c>
      <c r="C255" s="16" t="s">
        <v>414</v>
      </c>
      <c r="D255" s="18" t="s">
        <v>521</v>
      </c>
      <c r="E255" s="18" t="s">
        <v>469</v>
      </c>
      <c r="F255" s="23" t="s">
        <v>172</v>
      </c>
      <c r="G255" s="32" t="s">
        <v>63</v>
      </c>
      <c r="H255" s="18">
        <v>2</v>
      </c>
      <c r="I255" s="24">
        <v>0.07885416666666667</v>
      </c>
      <c r="J255" s="20">
        <v>0.008819444444444444</v>
      </c>
      <c r="K255" s="18"/>
      <c r="L255" s="24">
        <v>0.04506944444444445</v>
      </c>
      <c r="M255" s="18"/>
      <c r="N255" s="24">
        <v>0.02496527777777778</v>
      </c>
      <c r="O255" s="18"/>
      <c r="P255" s="18"/>
      <c r="Q255" s="18"/>
    </row>
    <row r="256" spans="1:17" ht="12.75">
      <c r="A256">
        <f t="shared" si="8"/>
        <v>245</v>
      </c>
      <c r="B256" s="22">
        <v>37752</v>
      </c>
      <c r="C256" s="16" t="s">
        <v>415</v>
      </c>
      <c r="D256" s="18" t="s">
        <v>266</v>
      </c>
      <c r="E256" s="18" t="s">
        <v>469</v>
      </c>
      <c r="F256" s="23" t="s">
        <v>189</v>
      </c>
      <c r="G256" s="32" t="s">
        <v>260</v>
      </c>
      <c r="H256" s="18">
        <v>25</v>
      </c>
      <c r="I256" s="24">
        <v>0.24898148148148147</v>
      </c>
      <c r="J256" s="20">
        <v>0.03451388888888889</v>
      </c>
      <c r="K256" s="24">
        <v>0.001423611111111111</v>
      </c>
      <c r="L256" s="24">
        <v>0.12493055555555554</v>
      </c>
      <c r="M256" s="24">
        <v>0.0007291666666666667</v>
      </c>
      <c r="N256" s="24">
        <v>0.08953703703703704</v>
      </c>
      <c r="O256" s="18" t="s">
        <v>190</v>
      </c>
      <c r="P256" s="18"/>
      <c r="Q256" s="18" t="s">
        <v>190</v>
      </c>
    </row>
    <row r="257" spans="1:17" ht="12.75">
      <c r="A257">
        <f t="shared" si="8"/>
        <v>246</v>
      </c>
      <c r="B257" s="22">
        <v>37773</v>
      </c>
      <c r="C257" s="16" t="s">
        <v>89</v>
      </c>
      <c r="D257" s="18" t="s">
        <v>521</v>
      </c>
      <c r="E257" s="18" t="s">
        <v>469</v>
      </c>
      <c r="F257" s="23" t="s">
        <v>98</v>
      </c>
      <c r="G257" s="32" t="s">
        <v>99</v>
      </c>
      <c r="H257" s="18">
        <v>24</v>
      </c>
      <c r="I257" s="24">
        <v>0.08079861111111111</v>
      </c>
      <c r="J257" s="20">
        <v>0.015162037037037036</v>
      </c>
      <c r="K257" s="18"/>
      <c r="L257" s="24">
        <v>0.041840277777777775</v>
      </c>
      <c r="M257" s="18"/>
      <c r="N257" s="24">
        <v>0.023807870370370368</v>
      </c>
      <c r="O257" s="18" t="s">
        <v>541</v>
      </c>
      <c r="P257" s="18"/>
      <c r="Q257" s="18" t="s">
        <v>33</v>
      </c>
    </row>
    <row r="258" spans="1:17" ht="12.75">
      <c r="A258">
        <f t="shared" si="8"/>
        <v>247</v>
      </c>
      <c r="B258" s="22">
        <v>37787</v>
      </c>
      <c r="C258" s="16" t="s">
        <v>417</v>
      </c>
      <c r="D258" s="18" t="s">
        <v>316</v>
      </c>
      <c r="E258" s="18" t="s">
        <v>469</v>
      </c>
      <c r="F258" s="23" t="s">
        <v>98</v>
      </c>
      <c r="G258" s="32" t="s">
        <v>254</v>
      </c>
      <c r="H258" s="18">
        <v>8</v>
      </c>
      <c r="I258" s="24">
        <v>0.09086805555555555</v>
      </c>
      <c r="J258" s="20">
        <v>0.014224537037037037</v>
      </c>
      <c r="K258" s="18"/>
      <c r="L258" s="24">
        <v>0.05284722222222222</v>
      </c>
      <c r="M258" s="18"/>
      <c r="N258" s="24">
        <v>0.023796296296296298</v>
      </c>
      <c r="O258" s="18"/>
      <c r="P258" s="18"/>
      <c r="Q258" s="18"/>
    </row>
    <row r="259" spans="1:17" ht="12.75">
      <c r="A259">
        <f t="shared" si="8"/>
        <v>248</v>
      </c>
      <c r="B259" s="22">
        <v>37801</v>
      </c>
      <c r="C259" s="16" t="s">
        <v>92</v>
      </c>
      <c r="D259" s="18" t="s">
        <v>521</v>
      </c>
      <c r="E259" s="18" t="s">
        <v>469</v>
      </c>
      <c r="F259" s="23" t="s">
        <v>189</v>
      </c>
      <c r="G259" s="32" t="s">
        <v>418</v>
      </c>
      <c r="H259" s="18">
        <v>2</v>
      </c>
      <c r="I259" s="24">
        <v>0.23141203703703703</v>
      </c>
      <c r="J259" s="20">
        <v>0.0271875</v>
      </c>
      <c r="K259" s="24">
        <v>0.0009375</v>
      </c>
      <c r="L259" s="24">
        <v>0.1173263888888889</v>
      </c>
      <c r="M259" s="24">
        <v>0.0012152777777777778</v>
      </c>
      <c r="N259" s="24">
        <v>0.0847337962962963</v>
      </c>
      <c r="O259" s="48" t="s">
        <v>542</v>
      </c>
      <c r="P259" s="18"/>
      <c r="Q259" s="18" t="s">
        <v>33</v>
      </c>
    </row>
    <row r="260" spans="1:17" ht="12.75">
      <c r="A260">
        <f t="shared" si="8"/>
        <v>249</v>
      </c>
      <c r="B260" s="22">
        <v>37807</v>
      </c>
      <c r="C260" s="16" t="s">
        <v>38</v>
      </c>
      <c r="D260" s="18" t="s">
        <v>521</v>
      </c>
      <c r="E260" s="18" t="s">
        <v>469</v>
      </c>
      <c r="F260" s="23" t="s">
        <v>98</v>
      </c>
      <c r="G260" s="32" t="s">
        <v>99</v>
      </c>
      <c r="H260" s="18">
        <v>28</v>
      </c>
      <c r="I260" s="24">
        <v>0.07891203703703703</v>
      </c>
      <c r="J260" s="20">
        <v>0.013634259259259257</v>
      </c>
      <c r="K260" s="18"/>
      <c r="L260" s="24">
        <v>0.04163194444444445</v>
      </c>
      <c r="M260" s="18"/>
      <c r="N260" s="24">
        <v>0.023645833333333335</v>
      </c>
      <c r="O260" s="18" t="s">
        <v>328</v>
      </c>
      <c r="P260" s="18"/>
      <c r="Q260" s="18"/>
    </row>
    <row r="261" spans="1:17" ht="12.75">
      <c r="A261">
        <f t="shared" si="8"/>
        <v>250</v>
      </c>
      <c r="B261" s="22">
        <v>37828</v>
      </c>
      <c r="C261" s="16" t="s">
        <v>326</v>
      </c>
      <c r="D261" s="18" t="s">
        <v>327</v>
      </c>
      <c r="E261" s="18" t="s">
        <v>469</v>
      </c>
      <c r="F261" s="23" t="s">
        <v>98</v>
      </c>
      <c r="G261" s="32" t="s">
        <v>99</v>
      </c>
      <c r="H261" s="18">
        <v>8</v>
      </c>
      <c r="I261" s="24">
        <v>0.07997685185185184</v>
      </c>
      <c r="J261" s="20">
        <v>0.015277777777777777</v>
      </c>
      <c r="K261" s="18"/>
      <c r="L261" s="24">
        <v>0.041666666666666664</v>
      </c>
      <c r="M261" s="24">
        <f>I261-N261-L261-J261</f>
        <v>0.0005324074074073998</v>
      </c>
      <c r="N261" s="24">
        <v>0.0225</v>
      </c>
      <c r="O261" s="18"/>
      <c r="P261" s="18"/>
      <c r="Q261" s="18"/>
    </row>
    <row r="262" spans="1:17" ht="12.75">
      <c r="A262">
        <f t="shared" si="8"/>
        <v>251</v>
      </c>
      <c r="B262" s="22">
        <v>37836</v>
      </c>
      <c r="C262" s="16" t="s">
        <v>392</v>
      </c>
      <c r="D262" s="18" t="s">
        <v>393</v>
      </c>
      <c r="E262" s="18" t="s">
        <v>469</v>
      </c>
      <c r="F262" s="23" t="s">
        <v>189</v>
      </c>
      <c r="G262" s="32" t="s">
        <v>260</v>
      </c>
      <c r="H262" s="18">
        <v>2</v>
      </c>
      <c r="I262" s="24">
        <v>0.24208333333333334</v>
      </c>
      <c r="J262" s="20">
        <v>0.03649305555555555</v>
      </c>
      <c r="K262" s="24">
        <v>0.0010185185185185186</v>
      </c>
      <c r="L262" s="24">
        <v>0.12149305555555556</v>
      </c>
      <c r="M262" s="24">
        <v>0.0006712962962962962</v>
      </c>
      <c r="N262" s="24">
        <v>0.08243055555555556</v>
      </c>
      <c r="O262" s="18" t="s">
        <v>230</v>
      </c>
      <c r="P262" s="18"/>
      <c r="Q262" s="18" t="s">
        <v>230</v>
      </c>
    </row>
    <row r="263" spans="1:17" ht="12.75">
      <c r="A263">
        <f t="shared" si="8"/>
        <v>252</v>
      </c>
      <c r="B263" s="22">
        <v>37850</v>
      </c>
      <c r="C263" s="16" t="s">
        <v>25</v>
      </c>
      <c r="D263" s="18" t="s">
        <v>521</v>
      </c>
      <c r="E263" s="18" t="s">
        <v>448</v>
      </c>
      <c r="F263" s="16" t="s">
        <v>267</v>
      </c>
      <c r="G263" s="16" t="s">
        <v>205</v>
      </c>
      <c r="H263" s="18">
        <v>1</v>
      </c>
      <c r="I263" s="24">
        <v>0.078125</v>
      </c>
      <c r="J263" s="20"/>
      <c r="K263" s="18"/>
      <c r="L263" s="18"/>
      <c r="M263" s="18"/>
      <c r="N263" s="20"/>
      <c r="O263" s="18"/>
      <c r="P263" s="18"/>
      <c r="Q263" s="18"/>
    </row>
    <row r="264" spans="1:17" ht="12.75">
      <c r="A264">
        <f t="shared" si="8"/>
        <v>253</v>
      </c>
      <c r="B264" s="22">
        <v>37863</v>
      </c>
      <c r="C264" s="16" t="s">
        <v>201</v>
      </c>
      <c r="D264" s="18" t="s">
        <v>521</v>
      </c>
      <c r="E264" s="18" t="s">
        <v>469</v>
      </c>
      <c r="F264" s="16" t="s">
        <v>202</v>
      </c>
      <c r="G264" s="16" t="s">
        <v>249</v>
      </c>
      <c r="H264" s="18">
        <v>4</v>
      </c>
      <c r="I264" s="24">
        <v>0.35875</v>
      </c>
      <c r="J264" s="20">
        <v>0.03523148148148148</v>
      </c>
      <c r="K264" s="18"/>
      <c r="L264" s="24">
        <v>0.19493055555555558</v>
      </c>
      <c r="M264" s="18"/>
      <c r="N264" s="20">
        <v>0.12858796296296296</v>
      </c>
      <c r="O264" s="18"/>
      <c r="P264" s="18"/>
      <c r="Q264" s="18"/>
    </row>
    <row r="265" spans="1:17" ht="12.75">
      <c r="A265">
        <f t="shared" si="8"/>
        <v>254</v>
      </c>
      <c r="B265" s="22">
        <v>37878</v>
      </c>
      <c r="C265" s="16" t="s">
        <v>419</v>
      </c>
      <c r="D265" s="18" t="s">
        <v>521</v>
      </c>
      <c r="E265" s="18" t="s">
        <v>469</v>
      </c>
      <c r="F265" s="16" t="s">
        <v>402</v>
      </c>
      <c r="G265" s="16" t="s">
        <v>420</v>
      </c>
      <c r="H265" s="18">
        <v>3</v>
      </c>
      <c r="I265" s="24">
        <v>0.08748842592592593</v>
      </c>
      <c r="J265" s="20">
        <v>0.010706018518518517</v>
      </c>
      <c r="K265" s="18"/>
      <c r="L265" s="24">
        <v>0.049490740740740745</v>
      </c>
      <c r="M265" s="24">
        <f>I265-N265-L265-J265</f>
        <v>0</v>
      </c>
      <c r="N265" s="20">
        <v>0.027291666666666662</v>
      </c>
      <c r="O265" s="18"/>
      <c r="P265" s="18"/>
      <c r="Q265" s="18"/>
    </row>
    <row r="266" spans="1:17" ht="12.75">
      <c r="A266">
        <f t="shared" si="8"/>
        <v>255</v>
      </c>
      <c r="B266" s="22">
        <v>37892</v>
      </c>
      <c r="C266" s="16" t="s">
        <v>421</v>
      </c>
      <c r="D266" s="18" t="s">
        <v>521</v>
      </c>
      <c r="E266" s="18" t="s">
        <v>448</v>
      </c>
      <c r="F266" s="16" t="s">
        <v>267</v>
      </c>
      <c r="G266" s="16" t="s">
        <v>205</v>
      </c>
      <c r="H266" s="18">
        <v>4</v>
      </c>
      <c r="I266" s="24">
        <v>0.08266203703703703</v>
      </c>
      <c r="J266" s="20"/>
      <c r="K266" s="18"/>
      <c r="L266" s="18"/>
      <c r="M266" s="18"/>
      <c r="N266" s="20"/>
      <c r="O266" s="18" t="s">
        <v>33</v>
      </c>
      <c r="P266" s="18"/>
      <c r="Q266" s="18" t="s">
        <v>33</v>
      </c>
    </row>
    <row r="267" spans="1:17" ht="12.75">
      <c r="A267">
        <f t="shared" si="8"/>
        <v>256</v>
      </c>
      <c r="B267" s="22">
        <v>37898</v>
      </c>
      <c r="C267" s="16" t="s">
        <v>209</v>
      </c>
      <c r="D267" s="18" t="s">
        <v>521</v>
      </c>
      <c r="E267" s="18" t="s">
        <v>448</v>
      </c>
      <c r="F267" s="16" t="s">
        <v>268</v>
      </c>
      <c r="G267" s="16" t="s">
        <v>422</v>
      </c>
      <c r="H267" s="18">
        <v>1</v>
      </c>
      <c r="I267" s="24">
        <v>0.03982638888888889</v>
      </c>
      <c r="J267" s="20"/>
      <c r="K267" s="18"/>
      <c r="L267" s="18"/>
      <c r="M267" s="18"/>
      <c r="N267" s="20"/>
      <c r="O267" s="18"/>
      <c r="P267" s="18"/>
      <c r="Q267" s="18"/>
    </row>
    <row r="268" spans="1:17" ht="12.75">
      <c r="A268">
        <f aca="true" t="shared" si="9" ref="A268:A333">IF(B268=0,"",ROW(A257))</f>
        <v>257</v>
      </c>
      <c r="B268" s="22">
        <v>37919</v>
      </c>
      <c r="C268" s="18" t="s">
        <v>209</v>
      </c>
      <c r="D268" s="18" t="s">
        <v>521</v>
      </c>
      <c r="E268" s="18" t="s">
        <v>470</v>
      </c>
      <c r="F268" s="18" t="s">
        <v>210</v>
      </c>
      <c r="G268" s="18" t="s">
        <v>211</v>
      </c>
      <c r="H268" s="18">
        <v>1</v>
      </c>
      <c r="I268" s="24">
        <v>0.21983796296296296</v>
      </c>
      <c r="J268" s="20"/>
      <c r="K268" s="18"/>
      <c r="L268" s="18"/>
      <c r="M268" s="18"/>
      <c r="N268" s="18"/>
      <c r="O268" s="18"/>
      <c r="P268" s="18"/>
      <c r="Q268" s="18" t="s">
        <v>33</v>
      </c>
    </row>
    <row r="269" spans="1:17" ht="12.75">
      <c r="A269">
        <f t="shared" si="9"/>
        <v>258</v>
      </c>
      <c r="B269" s="22">
        <v>37933</v>
      </c>
      <c r="C269" s="16" t="s">
        <v>358</v>
      </c>
      <c r="D269" s="18" t="s">
        <v>359</v>
      </c>
      <c r="E269" s="18" t="s">
        <v>469</v>
      </c>
      <c r="F269" s="23" t="s">
        <v>202</v>
      </c>
      <c r="G269" s="16" t="s">
        <v>249</v>
      </c>
      <c r="H269" s="18">
        <v>14</v>
      </c>
      <c r="I269" s="24">
        <v>0.3726388888888889</v>
      </c>
      <c r="J269" s="20">
        <v>0.03599537037037037</v>
      </c>
      <c r="K269" s="24">
        <v>0.0017939814814814815</v>
      </c>
      <c r="L269" s="24">
        <v>0.1951388888888889</v>
      </c>
      <c r="M269" s="24">
        <v>0.0019097222222222222</v>
      </c>
      <c r="N269" s="24">
        <v>0.13780092592592594</v>
      </c>
      <c r="O269" s="18" t="s">
        <v>429</v>
      </c>
      <c r="P269" s="18"/>
      <c r="Q269" s="18"/>
    </row>
    <row r="270" spans="1:17" ht="12.75">
      <c r="A270">
        <f t="shared" si="9"/>
        <v>259</v>
      </c>
      <c r="B270" s="22">
        <v>38045</v>
      </c>
      <c r="C270" s="18" t="s">
        <v>425</v>
      </c>
      <c r="D270" s="18" t="s">
        <v>521</v>
      </c>
      <c r="E270" s="18" t="s">
        <v>470</v>
      </c>
      <c r="F270" s="18" t="s">
        <v>218</v>
      </c>
      <c r="G270" s="18" t="s">
        <v>426</v>
      </c>
      <c r="H270" s="18">
        <v>1</v>
      </c>
      <c r="I270" s="24">
        <v>0.10168981481481482</v>
      </c>
      <c r="J270" s="20">
        <v>0.02407407407407407</v>
      </c>
      <c r="K270" s="18"/>
      <c r="L270" s="24">
        <v>0.04861111111111111</v>
      </c>
      <c r="M270" s="24">
        <f>I270-N270-L270-J270</f>
        <v>0</v>
      </c>
      <c r="N270" s="24">
        <f>I270-J270-L270</f>
        <v>0.029004629629629637</v>
      </c>
      <c r="O270" s="18"/>
      <c r="P270" s="18" t="s">
        <v>551</v>
      </c>
      <c r="Q270" s="18"/>
    </row>
    <row r="271" spans="1:17" ht="12.75">
      <c r="A271">
        <f t="shared" si="9"/>
        <v>260</v>
      </c>
      <c r="B271" s="22">
        <v>38081</v>
      </c>
      <c r="C271" s="16" t="s">
        <v>398</v>
      </c>
      <c r="D271" s="16" t="s">
        <v>399</v>
      </c>
      <c r="E271" s="16" t="s">
        <v>469</v>
      </c>
      <c r="F271" s="23" t="s">
        <v>202</v>
      </c>
      <c r="G271" s="16" t="s">
        <v>249</v>
      </c>
      <c r="H271" s="18">
        <v>10</v>
      </c>
      <c r="I271" s="24">
        <v>0.37125</v>
      </c>
      <c r="J271" s="20">
        <v>0.036041666666666666</v>
      </c>
      <c r="K271" s="18"/>
      <c r="L271" s="24">
        <v>0.20483796296296297</v>
      </c>
      <c r="M271" s="24"/>
      <c r="N271" s="24">
        <v>0.1303587962962963</v>
      </c>
      <c r="O271" s="16" t="s">
        <v>428</v>
      </c>
      <c r="P271" s="18"/>
      <c r="Q271" s="18"/>
    </row>
    <row r="272" spans="1:17" ht="12.75">
      <c r="A272">
        <f t="shared" si="9"/>
        <v>261</v>
      </c>
      <c r="B272" s="22">
        <v>38116</v>
      </c>
      <c r="C272" s="16" t="s">
        <v>25</v>
      </c>
      <c r="D272" s="18" t="s">
        <v>521</v>
      </c>
      <c r="E272" s="18" t="s">
        <v>469</v>
      </c>
      <c r="F272" s="23" t="s">
        <v>172</v>
      </c>
      <c r="G272" s="16" t="s">
        <v>63</v>
      </c>
      <c r="H272" s="18">
        <v>1</v>
      </c>
      <c r="I272" s="24">
        <v>0.07430555555555556</v>
      </c>
      <c r="J272" s="20">
        <v>0.008981481481481481</v>
      </c>
      <c r="K272" s="18"/>
      <c r="L272" s="24">
        <v>0.039467592592592596</v>
      </c>
      <c r="M272" s="24">
        <f>I272-N272-L272-J272</f>
        <v>0.0010648148148148084</v>
      </c>
      <c r="N272" s="24">
        <v>0.02479166666666667</v>
      </c>
      <c r="O272" s="16" t="s">
        <v>555</v>
      </c>
      <c r="P272" s="18"/>
      <c r="Q272" s="18"/>
    </row>
    <row r="273" spans="1:17" ht="12.75">
      <c r="A273">
        <f t="shared" si="9"/>
        <v>262</v>
      </c>
      <c r="B273" s="22">
        <v>38130</v>
      </c>
      <c r="C273" s="16" t="s">
        <v>308</v>
      </c>
      <c r="D273" s="18" t="s">
        <v>521</v>
      </c>
      <c r="E273" s="18" t="s">
        <v>469</v>
      </c>
      <c r="F273" s="23" t="s">
        <v>175</v>
      </c>
      <c r="G273" s="16" t="s">
        <v>401</v>
      </c>
      <c r="H273" s="18">
        <v>1</v>
      </c>
      <c r="I273" s="24">
        <v>0.15949074074074074</v>
      </c>
      <c r="J273" s="20">
        <v>0.02119212962962963</v>
      </c>
      <c r="K273" s="24">
        <v>0.0009375</v>
      </c>
      <c r="L273" s="24">
        <v>0.08760416666666666</v>
      </c>
      <c r="M273" s="24">
        <v>0.0006134259259259259</v>
      </c>
      <c r="N273" s="24">
        <v>0.049143518518518524</v>
      </c>
      <c r="O273" s="16" t="s">
        <v>33</v>
      </c>
      <c r="P273" s="18"/>
      <c r="Q273" s="18" t="s">
        <v>33</v>
      </c>
    </row>
    <row r="274" spans="1:17" ht="12.75">
      <c r="A274">
        <f t="shared" si="9"/>
        <v>263</v>
      </c>
      <c r="B274" s="22">
        <v>38136</v>
      </c>
      <c r="C274" s="16" t="s">
        <v>89</v>
      </c>
      <c r="D274" s="18" t="s">
        <v>521</v>
      </c>
      <c r="E274" s="18" t="s">
        <v>469</v>
      </c>
      <c r="F274" s="23" t="s">
        <v>98</v>
      </c>
      <c r="G274" s="32" t="s">
        <v>99</v>
      </c>
      <c r="H274" s="18">
        <v>29</v>
      </c>
      <c r="I274" s="24">
        <v>0.07841435185185185</v>
      </c>
      <c r="J274" s="20">
        <v>0.014131944444444445</v>
      </c>
      <c r="K274" s="18"/>
      <c r="L274" s="24">
        <v>0.04069444444444444</v>
      </c>
      <c r="M274" s="24">
        <f>I274-N274-L274-J274</f>
        <v>0</v>
      </c>
      <c r="N274" s="24">
        <v>0.023587962962962963</v>
      </c>
      <c r="O274" s="16" t="s">
        <v>378</v>
      </c>
      <c r="P274" s="18"/>
      <c r="Q274" s="18" t="s">
        <v>33</v>
      </c>
    </row>
    <row r="275" spans="1:17" ht="12.75">
      <c r="A275">
        <f t="shared" si="9"/>
        <v>264</v>
      </c>
      <c r="B275" s="22">
        <v>38151</v>
      </c>
      <c r="C275" s="16" t="s">
        <v>65</v>
      </c>
      <c r="D275" s="18" t="s">
        <v>521</v>
      </c>
      <c r="E275" s="18" t="s">
        <v>469</v>
      </c>
      <c r="F275" s="23" t="s">
        <v>172</v>
      </c>
      <c r="G275" s="16" t="s">
        <v>63</v>
      </c>
      <c r="H275" s="18">
        <v>1</v>
      </c>
      <c r="I275" s="24">
        <v>0.07325231481481481</v>
      </c>
      <c r="J275" s="20">
        <v>0.008587962962962962</v>
      </c>
      <c r="K275" s="18"/>
      <c r="L275" s="24">
        <v>0.039641203703703706</v>
      </c>
      <c r="M275" s="24">
        <f>I275-N275-L275-J275</f>
        <v>0.0009606481481481428</v>
      </c>
      <c r="N275" s="24">
        <v>0.0240625</v>
      </c>
      <c r="O275" s="16" t="s">
        <v>377</v>
      </c>
      <c r="P275" s="18"/>
      <c r="Q275" s="18"/>
    </row>
    <row r="276" spans="1:17" ht="12.75">
      <c r="A276">
        <f t="shared" si="9"/>
        <v>265</v>
      </c>
      <c r="B276" s="51">
        <v>38164</v>
      </c>
      <c r="C276" s="16" t="s">
        <v>203</v>
      </c>
      <c r="D276" s="18" t="s">
        <v>148</v>
      </c>
      <c r="E276" s="18" t="s">
        <v>469</v>
      </c>
      <c r="F276" s="23" t="s">
        <v>98</v>
      </c>
      <c r="G276" s="16" t="s">
        <v>99</v>
      </c>
      <c r="H276" s="18">
        <v>32</v>
      </c>
      <c r="I276" s="24">
        <v>0.08834490740740741</v>
      </c>
      <c r="J276" s="20">
        <v>0.013796296296296298</v>
      </c>
      <c r="K276" s="18"/>
      <c r="L276" s="24">
        <v>0.04976851851851852</v>
      </c>
      <c r="M276" s="32">
        <f>I276-N276-L276-J276</f>
        <v>2.3148148148155814E-05</v>
      </c>
      <c r="N276" s="24">
        <v>0.024756944444444443</v>
      </c>
      <c r="O276" s="16" t="s">
        <v>272</v>
      </c>
      <c r="P276" s="18"/>
      <c r="Q276" s="18"/>
    </row>
    <row r="277" spans="1:17" ht="12.75">
      <c r="A277">
        <f t="shared" si="9"/>
        <v>266</v>
      </c>
      <c r="B277" s="22">
        <v>38172</v>
      </c>
      <c r="C277" s="16" t="s">
        <v>354</v>
      </c>
      <c r="D277" s="18" t="s">
        <v>355</v>
      </c>
      <c r="E277" s="18" t="s">
        <v>469</v>
      </c>
      <c r="F277" s="23" t="s">
        <v>189</v>
      </c>
      <c r="G277" s="32" t="s">
        <v>260</v>
      </c>
      <c r="H277" s="18">
        <v>12</v>
      </c>
      <c r="I277" s="24">
        <v>0.251400462962963</v>
      </c>
      <c r="J277" s="20">
        <v>0.0409375</v>
      </c>
      <c r="K277" s="24">
        <v>0.0008217592592592592</v>
      </c>
      <c r="L277" s="24">
        <v>0.12552083333333333</v>
      </c>
      <c r="M277" s="24">
        <v>0.0008449074074074075</v>
      </c>
      <c r="N277" s="24">
        <v>0.08326388888888889</v>
      </c>
      <c r="O277" s="16" t="s">
        <v>190</v>
      </c>
      <c r="P277" s="18"/>
      <c r="Q277" s="18" t="s">
        <v>190</v>
      </c>
    </row>
    <row r="278" spans="1:17" ht="12.75">
      <c r="A278">
        <f t="shared" si="9"/>
        <v>267</v>
      </c>
      <c r="B278" s="22">
        <v>38200</v>
      </c>
      <c r="C278" s="16" t="s">
        <v>404</v>
      </c>
      <c r="D278" s="18" t="s">
        <v>232</v>
      </c>
      <c r="E278" s="18" t="s">
        <v>469</v>
      </c>
      <c r="F278" s="23" t="s">
        <v>175</v>
      </c>
      <c r="G278" s="16" t="s">
        <v>405</v>
      </c>
      <c r="H278" s="18">
        <v>2</v>
      </c>
      <c r="I278" s="24">
        <v>0.17225694444444442</v>
      </c>
      <c r="J278" s="20">
        <v>0.024583333333333332</v>
      </c>
      <c r="K278" s="18"/>
      <c r="L278" s="24">
        <v>0.09402777777777778</v>
      </c>
      <c r="M278" s="24">
        <f>I278-N278-L278-J278</f>
        <v>1.1574074074038876E-05</v>
      </c>
      <c r="N278" s="24">
        <v>0.05363425925925926</v>
      </c>
      <c r="O278" s="16" t="s">
        <v>552</v>
      </c>
      <c r="P278" s="18"/>
      <c r="Q278" s="18"/>
    </row>
    <row r="279" spans="1:17" ht="12.75">
      <c r="A279">
        <f t="shared" si="9"/>
        <v>268</v>
      </c>
      <c r="B279" s="22">
        <v>38213</v>
      </c>
      <c r="C279" s="16" t="s">
        <v>435</v>
      </c>
      <c r="D279" s="18" t="s">
        <v>521</v>
      </c>
      <c r="E279" s="18" t="s">
        <v>469</v>
      </c>
      <c r="F279" s="23" t="s">
        <v>98</v>
      </c>
      <c r="G279" s="16" t="s">
        <v>99</v>
      </c>
      <c r="H279" s="18">
        <v>1</v>
      </c>
      <c r="I279" s="24">
        <v>0.07789351851851851</v>
      </c>
      <c r="J279" s="20">
        <v>0.01375</v>
      </c>
      <c r="K279" s="24">
        <v>0.0006712962962962962</v>
      </c>
      <c r="L279" s="24">
        <v>0.03899305555555555</v>
      </c>
      <c r="M279" s="24">
        <v>0.0006712962962962962</v>
      </c>
      <c r="N279" s="24">
        <v>0.02378472222222222</v>
      </c>
      <c r="O279" s="18"/>
      <c r="P279" s="18"/>
      <c r="Q279" s="18"/>
    </row>
    <row r="280" spans="1:17" ht="12.75">
      <c r="A280">
        <f t="shared" si="9"/>
        <v>269</v>
      </c>
      <c r="B280" s="22">
        <v>38227</v>
      </c>
      <c r="C280" s="16" t="s">
        <v>201</v>
      </c>
      <c r="D280" s="18" t="s">
        <v>521</v>
      </c>
      <c r="E280" s="18" t="s">
        <v>469</v>
      </c>
      <c r="F280" s="23" t="s">
        <v>202</v>
      </c>
      <c r="G280" s="16" t="s">
        <v>249</v>
      </c>
      <c r="H280" s="18">
        <v>4</v>
      </c>
      <c r="I280" s="24">
        <v>0.36268518518518517</v>
      </c>
      <c r="J280" s="20">
        <v>0.03576388888888889</v>
      </c>
      <c r="K280" s="24">
        <v>0.0014930555555555556</v>
      </c>
      <c r="L280" s="24">
        <v>0.19572916666666665</v>
      </c>
      <c r="M280" s="24">
        <v>0.0014930555555555556</v>
      </c>
      <c r="N280" s="24">
        <v>0.12971064814814814</v>
      </c>
      <c r="O280" s="18"/>
      <c r="P280" s="18"/>
      <c r="Q280" s="18"/>
    </row>
    <row r="281" spans="1:17" ht="12.75">
      <c r="A281">
        <f t="shared" si="9"/>
        <v>270</v>
      </c>
      <c r="B281" s="22">
        <v>38249</v>
      </c>
      <c r="C281" s="16" t="s">
        <v>436</v>
      </c>
      <c r="D281" s="18" t="s">
        <v>521</v>
      </c>
      <c r="E281" s="18" t="s">
        <v>448</v>
      </c>
      <c r="F281" s="16" t="s">
        <v>267</v>
      </c>
      <c r="G281" s="16" t="s">
        <v>205</v>
      </c>
      <c r="H281" s="18">
        <v>3</v>
      </c>
      <c r="I281" s="24">
        <v>0.07714120370370371</v>
      </c>
      <c r="J281" s="20"/>
      <c r="K281" s="18"/>
      <c r="L281" s="18"/>
      <c r="M281" s="18"/>
      <c r="N281" s="20"/>
      <c r="O281" s="18" t="s">
        <v>33</v>
      </c>
      <c r="P281" s="18"/>
      <c r="Q281" s="18" t="s">
        <v>33</v>
      </c>
    </row>
    <row r="282" spans="1:17" ht="12.75">
      <c r="A282">
        <f t="shared" si="9"/>
        <v>271</v>
      </c>
      <c r="B282" s="22">
        <v>38290</v>
      </c>
      <c r="C282" s="18" t="s">
        <v>209</v>
      </c>
      <c r="D282" s="18" t="s">
        <v>521</v>
      </c>
      <c r="E282" s="18" t="s">
        <v>470</v>
      </c>
      <c r="F282" s="18" t="s">
        <v>210</v>
      </c>
      <c r="G282" s="18" t="s">
        <v>211</v>
      </c>
      <c r="H282" s="18">
        <v>1</v>
      </c>
      <c r="I282" s="24">
        <v>0.2210648148148148</v>
      </c>
      <c r="J282" s="20">
        <v>0.04984953703703704</v>
      </c>
      <c r="K282" s="18"/>
      <c r="L282" s="24">
        <v>0.11446759259259259</v>
      </c>
      <c r="M282" s="24"/>
      <c r="N282" s="24">
        <v>0.056747685185185186</v>
      </c>
      <c r="O282" s="18" t="s">
        <v>33</v>
      </c>
      <c r="P282" s="18"/>
      <c r="Q282" s="18" t="s">
        <v>33</v>
      </c>
    </row>
    <row r="283" spans="1:17" ht="12.75">
      <c r="A283">
        <f t="shared" si="9"/>
        <v>272</v>
      </c>
      <c r="B283" s="22">
        <v>38416</v>
      </c>
      <c r="C283" s="16" t="s">
        <v>425</v>
      </c>
      <c r="D283" s="18" t="s">
        <v>521</v>
      </c>
      <c r="E283" s="18" t="s">
        <v>470</v>
      </c>
      <c r="F283" s="16" t="s">
        <v>29</v>
      </c>
      <c r="G283" s="16" t="s">
        <v>438</v>
      </c>
      <c r="H283" s="18">
        <v>1</v>
      </c>
      <c r="I283" s="24">
        <v>0.07162037037037038</v>
      </c>
      <c r="J283" s="20">
        <v>0.024097222222222225</v>
      </c>
      <c r="K283" s="18"/>
      <c r="L283" s="24">
        <v>0.03194444444444445</v>
      </c>
      <c r="M283" s="24">
        <f>I283-N283-L283-J283</f>
        <v>0.003078703703703705</v>
      </c>
      <c r="N283" s="24">
        <v>0.0125</v>
      </c>
      <c r="O283" s="18" t="s">
        <v>503</v>
      </c>
      <c r="P283" s="18"/>
      <c r="Q283" s="18"/>
    </row>
    <row r="284" spans="1:18" ht="12.75">
      <c r="A284">
        <f t="shared" si="9"/>
        <v>273</v>
      </c>
      <c r="B284" s="22">
        <v>38466</v>
      </c>
      <c r="C284" s="16" t="s">
        <v>140</v>
      </c>
      <c r="D284" s="18" t="s">
        <v>521</v>
      </c>
      <c r="E284" s="18" t="s">
        <v>448</v>
      </c>
      <c r="F284" s="16" t="s">
        <v>141</v>
      </c>
      <c r="G284" s="16" t="s">
        <v>439</v>
      </c>
      <c r="H284" s="18">
        <v>24</v>
      </c>
      <c r="I284" s="24">
        <v>0.12127314814814816</v>
      </c>
      <c r="J284" s="20">
        <v>0.03851851851851852</v>
      </c>
      <c r="K284" s="18"/>
      <c r="L284" s="24">
        <v>0.06068287037037037</v>
      </c>
      <c r="M284" s="24">
        <f>I284-N284-L284-J284</f>
        <v>0</v>
      </c>
      <c r="N284" s="20">
        <v>0.02207175925925926</v>
      </c>
      <c r="O284" s="16" t="s">
        <v>550</v>
      </c>
      <c r="P284" s="18"/>
      <c r="Q284" s="16" t="s">
        <v>230</v>
      </c>
      <c r="R284" t="s">
        <v>33</v>
      </c>
    </row>
    <row r="285" spans="1:17" ht="12.75">
      <c r="A285">
        <f t="shared" si="9"/>
        <v>274</v>
      </c>
      <c r="B285" s="22">
        <v>38479</v>
      </c>
      <c r="C285" s="16" t="s">
        <v>25</v>
      </c>
      <c r="D285" s="18" t="s">
        <v>521</v>
      </c>
      <c r="E285" s="18" t="s">
        <v>469</v>
      </c>
      <c r="F285" s="23" t="s">
        <v>172</v>
      </c>
      <c r="G285" s="16" t="s">
        <v>63</v>
      </c>
      <c r="H285" s="18">
        <v>1</v>
      </c>
      <c r="I285" s="24">
        <v>0.07858796296296296</v>
      </c>
      <c r="J285" s="20">
        <v>0.009340277777777777</v>
      </c>
      <c r="K285" s="24">
        <f>I285-L285-M285-N285-J285</f>
        <v>0.0010185185185185124</v>
      </c>
      <c r="L285" s="24">
        <v>0.043159722222222224</v>
      </c>
      <c r="M285" s="24">
        <v>0.0009837962962962964</v>
      </c>
      <c r="N285" s="24">
        <v>0.024085648148148148</v>
      </c>
      <c r="O285" s="18" t="s">
        <v>546</v>
      </c>
      <c r="P285" s="18"/>
      <c r="Q285" s="18"/>
    </row>
    <row r="286" spans="1:17" ht="12.75">
      <c r="A286">
        <f t="shared" si="9"/>
        <v>275</v>
      </c>
      <c r="B286" s="22">
        <v>38493</v>
      </c>
      <c r="C286" s="16" t="s">
        <v>440</v>
      </c>
      <c r="D286" s="18" t="s">
        <v>266</v>
      </c>
      <c r="E286" s="18" t="s">
        <v>469</v>
      </c>
      <c r="F286" s="23" t="s">
        <v>202</v>
      </c>
      <c r="G286" s="16" t="s">
        <v>249</v>
      </c>
      <c r="H286" s="18">
        <v>17</v>
      </c>
      <c r="I286" s="24">
        <v>0.4101851851851852</v>
      </c>
      <c r="J286" s="20">
        <v>0.036458333333333336</v>
      </c>
      <c r="K286" s="18"/>
      <c r="L286" s="24">
        <v>0.22743055555555555</v>
      </c>
      <c r="M286" s="24">
        <f aca="true" t="shared" si="10" ref="M286:M293">I286-N286-L286-J286</f>
        <v>0.00219907407407411</v>
      </c>
      <c r="N286" s="24">
        <v>0.14409722222222224</v>
      </c>
      <c r="O286" s="18" t="s">
        <v>441</v>
      </c>
      <c r="P286" s="18"/>
      <c r="Q286" s="18"/>
    </row>
    <row r="287" spans="1:17" ht="12.75">
      <c r="A287">
        <f t="shared" si="9"/>
        <v>276</v>
      </c>
      <c r="B287" s="22">
        <v>38515</v>
      </c>
      <c r="C287" s="16" t="s">
        <v>417</v>
      </c>
      <c r="D287" s="18" t="s">
        <v>316</v>
      </c>
      <c r="E287" s="18" t="s">
        <v>469</v>
      </c>
      <c r="F287" s="23" t="s">
        <v>98</v>
      </c>
      <c r="G287" s="32" t="s">
        <v>254</v>
      </c>
      <c r="H287" s="18">
        <v>9</v>
      </c>
      <c r="I287" s="24">
        <v>0.08797453703703705</v>
      </c>
      <c r="J287" s="20">
        <v>0.01315972222222222</v>
      </c>
      <c r="K287" s="18"/>
      <c r="L287" s="24">
        <v>0.05086805555555555</v>
      </c>
      <c r="M287" s="24">
        <f t="shared" si="10"/>
        <v>1.1574074074092652E-05</v>
      </c>
      <c r="N287" s="24">
        <v>0.023935185185185184</v>
      </c>
      <c r="O287" s="18"/>
      <c r="P287" s="18"/>
      <c r="Q287" s="18"/>
    </row>
    <row r="288" spans="1:17" ht="12.75">
      <c r="A288">
        <f t="shared" si="9"/>
        <v>277</v>
      </c>
      <c r="B288" s="22">
        <v>38521</v>
      </c>
      <c r="C288" s="16" t="s">
        <v>442</v>
      </c>
      <c r="D288" s="18" t="s">
        <v>148</v>
      </c>
      <c r="E288" s="18" t="s">
        <v>469</v>
      </c>
      <c r="F288" s="23" t="s">
        <v>98</v>
      </c>
      <c r="G288" s="16" t="s">
        <v>99</v>
      </c>
      <c r="H288" s="18">
        <v>75</v>
      </c>
      <c r="I288" s="24">
        <v>0.08311342592592592</v>
      </c>
      <c r="J288" s="20">
        <v>0.015081018518518516</v>
      </c>
      <c r="K288" s="18"/>
      <c r="L288" s="24">
        <v>0.041851851851851855</v>
      </c>
      <c r="M288" s="24">
        <f t="shared" si="10"/>
        <v>1.1574074074078775E-05</v>
      </c>
      <c r="N288" s="24">
        <v>0.026168981481481477</v>
      </c>
      <c r="O288" s="18" t="s">
        <v>272</v>
      </c>
      <c r="P288" s="18"/>
      <c r="Q288" s="18"/>
    </row>
    <row r="289" spans="1:17" ht="12.75">
      <c r="A289">
        <f t="shared" si="9"/>
        <v>278</v>
      </c>
      <c r="B289" s="22">
        <v>38528</v>
      </c>
      <c r="C289" s="16" t="s">
        <v>92</v>
      </c>
      <c r="D289" s="18" t="s">
        <v>521</v>
      </c>
      <c r="E289" s="18" t="s">
        <v>469</v>
      </c>
      <c r="F289" s="23" t="s">
        <v>98</v>
      </c>
      <c r="G289" s="16" t="s">
        <v>99</v>
      </c>
      <c r="H289" s="18">
        <v>12</v>
      </c>
      <c r="I289" s="24">
        <v>0.08872685185185185</v>
      </c>
      <c r="J289" s="20">
        <v>0.015914351851851853</v>
      </c>
      <c r="K289" s="18"/>
      <c r="L289" s="24">
        <v>0.04342592592592592</v>
      </c>
      <c r="M289" s="24">
        <f t="shared" si="10"/>
        <v>0.0016087962962962957</v>
      </c>
      <c r="N289" s="24">
        <v>0.027777777777777776</v>
      </c>
      <c r="O289" s="18" t="s">
        <v>443</v>
      </c>
      <c r="P289" s="18"/>
      <c r="Q289" s="18" t="s">
        <v>33</v>
      </c>
    </row>
    <row r="290" spans="1:17" ht="12.75">
      <c r="A290">
        <f t="shared" si="9"/>
        <v>279</v>
      </c>
      <c r="B290" s="22">
        <v>38556</v>
      </c>
      <c r="C290" s="16" t="s">
        <v>203</v>
      </c>
      <c r="D290" s="18" t="s">
        <v>148</v>
      </c>
      <c r="E290" s="18" t="s">
        <v>469</v>
      </c>
      <c r="F290" s="23" t="s">
        <v>98</v>
      </c>
      <c r="G290" s="16" t="s">
        <v>99</v>
      </c>
      <c r="H290" s="18">
        <v>63</v>
      </c>
      <c r="I290" s="24">
        <v>0.09068287037037037</v>
      </c>
      <c r="J290" s="20">
        <v>0.013368055555555557</v>
      </c>
      <c r="K290" s="18"/>
      <c r="L290" s="24">
        <v>0.05069444444444445</v>
      </c>
      <c r="M290" s="24">
        <f t="shared" si="10"/>
        <v>1.1574074074066631E-05</v>
      </c>
      <c r="N290" s="24">
        <v>0.026608796296296297</v>
      </c>
      <c r="O290" s="18" t="s">
        <v>272</v>
      </c>
      <c r="P290" s="18"/>
      <c r="Q290" s="18"/>
    </row>
    <row r="291" spans="1:17" ht="12.75">
      <c r="A291">
        <f t="shared" si="9"/>
        <v>280</v>
      </c>
      <c r="B291" s="22">
        <v>38571</v>
      </c>
      <c r="C291" s="16" t="s">
        <v>392</v>
      </c>
      <c r="D291" s="18" t="s">
        <v>393</v>
      </c>
      <c r="E291" s="18" t="s">
        <v>469</v>
      </c>
      <c r="F291" s="23" t="s">
        <v>189</v>
      </c>
      <c r="G291" s="32" t="s">
        <v>260</v>
      </c>
      <c r="H291" s="18">
        <v>22</v>
      </c>
      <c r="I291" s="24">
        <v>0.25328703703703703</v>
      </c>
      <c r="J291" s="20">
        <v>0.038078703703703705</v>
      </c>
      <c r="K291" s="18"/>
      <c r="L291" s="24">
        <v>0.12523148148148147</v>
      </c>
      <c r="M291" s="24">
        <f t="shared" si="10"/>
        <v>0.0031597222222222374</v>
      </c>
      <c r="N291" s="24">
        <v>0.08681712962962963</v>
      </c>
      <c r="O291" s="18" t="s">
        <v>190</v>
      </c>
      <c r="P291" s="18" t="s">
        <v>397</v>
      </c>
      <c r="Q291" s="18" t="s">
        <v>190</v>
      </c>
    </row>
    <row r="292" spans="1:17" ht="12.75">
      <c r="A292">
        <f t="shared" si="9"/>
        <v>281</v>
      </c>
      <c r="B292" s="22">
        <v>38591</v>
      </c>
      <c r="C292" s="16" t="s">
        <v>201</v>
      </c>
      <c r="D292" s="18" t="s">
        <v>521</v>
      </c>
      <c r="E292" s="18" t="s">
        <v>469</v>
      </c>
      <c r="F292" s="23" t="s">
        <v>202</v>
      </c>
      <c r="G292" s="16" t="s">
        <v>249</v>
      </c>
      <c r="H292" s="18">
        <v>23</v>
      </c>
      <c r="I292" s="24">
        <v>0.38681712962962966</v>
      </c>
      <c r="J292" s="30">
        <v>0.03832175925925926</v>
      </c>
      <c r="K292" s="18"/>
      <c r="L292" s="32">
        <v>0.2008101851851852</v>
      </c>
      <c r="M292" s="24">
        <f t="shared" si="10"/>
        <v>0.003009259259259274</v>
      </c>
      <c r="N292" s="32">
        <v>0.14467592592592593</v>
      </c>
      <c r="O292" s="18" t="s">
        <v>444</v>
      </c>
      <c r="P292" s="18"/>
      <c r="Q292" s="18" t="s">
        <v>33</v>
      </c>
    </row>
    <row r="293" spans="1:17" ht="12.75">
      <c r="A293">
        <f t="shared" si="9"/>
        <v>282</v>
      </c>
      <c r="B293" s="22">
        <v>38626</v>
      </c>
      <c r="C293" s="16" t="s">
        <v>445</v>
      </c>
      <c r="D293" s="18" t="s">
        <v>521</v>
      </c>
      <c r="E293" s="18" t="s">
        <v>470</v>
      </c>
      <c r="F293" s="16" t="s">
        <v>29</v>
      </c>
      <c r="G293" s="16" t="s">
        <v>447</v>
      </c>
      <c r="H293" s="18">
        <v>6</v>
      </c>
      <c r="I293" s="24">
        <v>0.09951388888888889</v>
      </c>
      <c r="J293" s="20">
        <v>0.015023148148148148</v>
      </c>
      <c r="K293" s="18"/>
      <c r="L293" s="24">
        <v>0.04520833333333333</v>
      </c>
      <c r="M293" s="24">
        <f t="shared" si="10"/>
        <v>0</v>
      </c>
      <c r="N293" s="24">
        <v>0.03928240740740741</v>
      </c>
      <c r="O293" s="16" t="s">
        <v>446</v>
      </c>
      <c r="P293" s="18"/>
      <c r="Q293" s="18"/>
    </row>
    <row r="294" spans="1:17" ht="12.75">
      <c r="A294">
        <f t="shared" si="9"/>
        <v>283</v>
      </c>
      <c r="B294" s="22">
        <v>38654</v>
      </c>
      <c r="C294" s="16" t="s">
        <v>209</v>
      </c>
      <c r="D294" s="18" t="s">
        <v>521</v>
      </c>
      <c r="E294" s="18" t="s">
        <v>470</v>
      </c>
      <c r="F294" s="16" t="s">
        <v>218</v>
      </c>
      <c r="G294" s="16" t="s">
        <v>449</v>
      </c>
      <c r="H294" s="18">
        <v>2</v>
      </c>
      <c r="I294" s="24">
        <v>0.10304398148148149</v>
      </c>
      <c r="J294" s="20">
        <v>0.023587962962962963</v>
      </c>
      <c r="K294" s="18"/>
      <c r="L294" s="24">
        <v>0.05371527777777777</v>
      </c>
      <c r="M294" s="24"/>
      <c r="N294" s="24">
        <v>0.025740740740740745</v>
      </c>
      <c r="O294" s="16" t="s">
        <v>33</v>
      </c>
      <c r="P294" s="18"/>
      <c r="Q294" s="18" t="s">
        <v>33</v>
      </c>
    </row>
    <row r="295" spans="1:17" ht="12.75">
      <c r="A295">
        <f t="shared" si="9"/>
        <v>284</v>
      </c>
      <c r="B295" s="22">
        <v>38844</v>
      </c>
      <c r="C295" s="16" t="s">
        <v>25</v>
      </c>
      <c r="D295" s="18" t="s">
        <v>521</v>
      </c>
      <c r="E295" s="18" t="s">
        <v>469</v>
      </c>
      <c r="F295" s="23" t="s">
        <v>172</v>
      </c>
      <c r="G295" s="16" t="s">
        <v>63</v>
      </c>
      <c r="H295" s="18">
        <v>1</v>
      </c>
      <c r="I295" s="24">
        <v>0.07461805555555556</v>
      </c>
      <c r="J295" s="20">
        <v>0.008993055555555554</v>
      </c>
      <c r="K295" s="24">
        <v>0.0009259259259259259</v>
      </c>
      <c r="L295" s="24">
        <v>0.039872685185185185</v>
      </c>
      <c r="M295" s="24">
        <v>0.0005208333333333333</v>
      </c>
      <c r="N295" s="24">
        <v>0.024328703703703703</v>
      </c>
      <c r="O295" s="16" t="s">
        <v>545</v>
      </c>
      <c r="P295" s="18"/>
      <c r="Q295" s="18"/>
    </row>
    <row r="296" spans="1:17" ht="12.75">
      <c r="A296">
        <f t="shared" si="9"/>
        <v>285</v>
      </c>
      <c r="B296" s="22">
        <v>38865</v>
      </c>
      <c r="C296" s="16" t="s">
        <v>308</v>
      </c>
      <c r="D296" s="18" t="s">
        <v>521</v>
      </c>
      <c r="E296" s="18" t="s">
        <v>469</v>
      </c>
      <c r="F296" s="23" t="s">
        <v>175</v>
      </c>
      <c r="G296" s="16" t="s">
        <v>401</v>
      </c>
      <c r="H296" s="18">
        <v>2</v>
      </c>
      <c r="I296" s="24">
        <v>0.160625</v>
      </c>
      <c r="J296" s="20">
        <v>0.019108796296296294</v>
      </c>
      <c r="K296" s="18"/>
      <c r="L296" s="24">
        <v>0.08863425925925926</v>
      </c>
      <c r="M296" s="24">
        <f>I296-N296-L296-J296</f>
        <v>0</v>
      </c>
      <c r="N296" s="24">
        <v>0.05288194444444444</v>
      </c>
      <c r="O296" s="16" t="s">
        <v>33</v>
      </c>
      <c r="P296" s="18"/>
      <c r="Q296" s="18" t="s">
        <v>33</v>
      </c>
    </row>
    <row r="297" spans="1:17" ht="12.75">
      <c r="A297">
        <f t="shared" si="9"/>
        <v>286</v>
      </c>
      <c r="B297" s="22">
        <v>38879</v>
      </c>
      <c r="C297" s="16" t="s">
        <v>65</v>
      </c>
      <c r="D297" s="18" t="s">
        <v>521</v>
      </c>
      <c r="E297" s="18" t="s">
        <v>469</v>
      </c>
      <c r="F297" s="23" t="s">
        <v>172</v>
      </c>
      <c r="G297" s="16" t="s">
        <v>63</v>
      </c>
      <c r="H297" s="18">
        <v>1</v>
      </c>
      <c r="I297" s="24">
        <v>0.07748842592592593</v>
      </c>
      <c r="J297" s="20">
        <v>0.008854166666666666</v>
      </c>
      <c r="K297" s="18"/>
      <c r="L297" s="24">
        <v>0.04074074074074074</v>
      </c>
      <c r="M297" s="24">
        <f>I297-N297-L297-J297</f>
        <v>0.0009837962962963055</v>
      </c>
      <c r="N297" s="24">
        <v>0.026909722222222224</v>
      </c>
      <c r="O297" s="18"/>
      <c r="P297" s="18"/>
      <c r="Q297" s="18"/>
    </row>
    <row r="298" spans="1:17" ht="12.75">
      <c r="A298">
        <f t="shared" si="9"/>
        <v>287</v>
      </c>
      <c r="B298" s="22">
        <v>38892</v>
      </c>
      <c r="C298" s="16" t="s">
        <v>451</v>
      </c>
      <c r="D298" s="18" t="s">
        <v>521</v>
      </c>
      <c r="E298" s="18" t="s">
        <v>469</v>
      </c>
      <c r="F298" s="23" t="s">
        <v>172</v>
      </c>
      <c r="G298" s="16" t="s">
        <v>63</v>
      </c>
      <c r="H298" s="18">
        <v>1</v>
      </c>
      <c r="I298" s="24">
        <v>0.07633101851851852</v>
      </c>
      <c r="J298" s="20">
        <v>0.009016203703703703</v>
      </c>
      <c r="K298" s="18"/>
      <c r="L298" s="24">
        <v>0.03925925925925926</v>
      </c>
      <c r="M298" s="24">
        <f>I298-N298-L298-J298</f>
        <v>0</v>
      </c>
      <c r="N298" s="24">
        <v>0.028055555555555556</v>
      </c>
      <c r="O298" s="18"/>
      <c r="P298" s="18"/>
      <c r="Q298" s="18"/>
    </row>
    <row r="299" spans="1:17" ht="12.75">
      <c r="A299">
        <f t="shared" si="9"/>
        <v>288</v>
      </c>
      <c r="B299" s="22">
        <v>38900</v>
      </c>
      <c r="C299" s="16" t="s">
        <v>92</v>
      </c>
      <c r="D299" s="18" t="s">
        <v>521</v>
      </c>
      <c r="E299" s="18" t="s">
        <v>469</v>
      </c>
      <c r="F299" s="23" t="s">
        <v>189</v>
      </c>
      <c r="G299" s="16" t="s">
        <v>418</v>
      </c>
      <c r="H299" s="18">
        <v>9</v>
      </c>
      <c r="I299" s="24">
        <v>0.2543287037037037</v>
      </c>
      <c r="J299" s="20">
        <v>0.028645833333333332</v>
      </c>
      <c r="K299" s="24">
        <v>0.0009027777777777778</v>
      </c>
      <c r="L299" s="24">
        <v>0.1329050925925926</v>
      </c>
      <c r="M299" s="24">
        <v>0.002349537037037037</v>
      </c>
      <c r="N299" s="24">
        <v>0.08953703703703704</v>
      </c>
      <c r="O299" s="18" t="s">
        <v>378</v>
      </c>
      <c r="P299" s="18"/>
      <c r="Q299" s="18" t="s">
        <v>33</v>
      </c>
    </row>
    <row r="300" spans="1:17" ht="12.75">
      <c r="A300">
        <f t="shared" si="9"/>
        <v>289</v>
      </c>
      <c r="B300" s="22">
        <v>38913</v>
      </c>
      <c r="C300" s="16" t="s">
        <v>38</v>
      </c>
      <c r="D300" s="18" t="s">
        <v>521</v>
      </c>
      <c r="E300" s="18" t="s">
        <v>469</v>
      </c>
      <c r="F300" s="23" t="s">
        <v>98</v>
      </c>
      <c r="G300" s="16" t="s">
        <v>99</v>
      </c>
      <c r="H300" s="18">
        <v>34</v>
      </c>
      <c r="I300" s="24">
        <v>0.08541666666666665</v>
      </c>
      <c r="J300" s="20">
        <v>0.015092592592592593</v>
      </c>
      <c r="K300" s="18"/>
      <c r="L300" s="24">
        <v>0.044814814814814814</v>
      </c>
      <c r="M300" s="24">
        <f>I300-N300-L300-J300</f>
        <v>0</v>
      </c>
      <c r="N300" s="24">
        <v>0.02550925925925926</v>
      </c>
      <c r="O300" s="18" t="s">
        <v>328</v>
      </c>
      <c r="P300" s="18"/>
      <c r="Q300" s="18"/>
    </row>
    <row r="301" spans="1:17" ht="12.75">
      <c r="A301">
        <f t="shared" si="9"/>
        <v>290</v>
      </c>
      <c r="B301" s="22">
        <v>38955</v>
      </c>
      <c r="C301" s="16" t="s">
        <v>201</v>
      </c>
      <c r="D301" s="18" t="s">
        <v>521</v>
      </c>
      <c r="E301" s="18" t="s">
        <v>469</v>
      </c>
      <c r="F301" s="23" t="s">
        <v>189</v>
      </c>
      <c r="G301" s="16" t="s">
        <v>260</v>
      </c>
      <c r="H301" s="18">
        <v>26</v>
      </c>
      <c r="I301" s="24">
        <v>0.2526157407407407</v>
      </c>
      <c r="J301" s="20">
        <v>0.03543981481481481</v>
      </c>
      <c r="K301" s="18"/>
      <c r="L301" s="24">
        <v>0.126875</v>
      </c>
      <c r="M301" s="24">
        <v>0.0017592592592592592</v>
      </c>
      <c r="N301" s="24">
        <v>0.08856481481481482</v>
      </c>
      <c r="O301" s="18" t="s">
        <v>230</v>
      </c>
      <c r="P301" s="18"/>
      <c r="Q301" s="18" t="s">
        <v>230</v>
      </c>
    </row>
    <row r="302" spans="1:17" ht="12.75">
      <c r="A302">
        <f t="shared" si="9"/>
        <v>291</v>
      </c>
      <c r="B302" s="22">
        <v>38966</v>
      </c>
      <c r="C302" s="16" t="s">
        <v>452</v>
      </c>
      <c r="D302" s="18" t="s">
        <v>232</v>
      </c>
      <c r="E302" s="18" t="s">
        <v>469</v>
      </c>
      <c r="F302" s="23" t="s">
        <v>172</v>
      </c>
      <c r="G302" s="16" t="s">
        <v>63</v>
      </c>
      <c r="H302" s="18">
        <v>8</v>
      </c>
      <c r="I302" s="24">
        <v>0.07743055555555556</v>
      </c>
      <c r="J302" s="20">
        <v>0.009918981481481482</v>
      </c>
      <c r="K302" s="24">
        <v>0.0008217592592592592</v>
      </c>
      <c r="L302" s="24">
        <v>0.042199074074074076</v>
      </c>
      <c r="M302" s="24">
        <v>0.0006712962962962962</v>
      </c>
      <c r="N302" s="24">
        <v>0.02378472222222222</v>
      </c>
      <c r="O302" s="18"/>
      <c r="P302" s="18"/>
      <c r="Q302" s="18"/>
    </row>
    <row r="303" spans="1:17" ht="12.75">
      <c r="A303">
        <f t="shared" si="9"/>
        <v>292</v>
      </c>
      <c r="B303" s="22">
        <v>38969</v>
      </c>
      <c r="C303" s="16" t="s">
        <v>258</v>
      </c>
      <c r="D303" s="18" t="s">
        <v>521</v>
      </c>
      <c r="E303" s="18" t="s">
        <v>469</v>
      </c>
      <c r="F303" s="23" t="s">
        <v>98</v>
      </c>
      <c r="G303" s="16" t="s">
        <v>99</v>
      </c>
      <c r="H303" s="18">
        <v>1</v>
      </c>
      <c r="I303" s="24">
        <v>0.08140046296296297</v>
      </c>
      <c r="J303" s="20">
        <v>0.014108796296296295</v>
      </c>
      <c r="K303" s="24">
        <v>0.0009143518518518518</v>
      </c>
      <c r="L303" s="24">
        <v>0.0430787037037037</v>
      </c>
      <c r="M303" s="24">
        <f>I303-N303-L303-J303</f>
        <v>0</v>
      </c>
      <c r="N303" s="24">
        <v>0.024212962962962964</v>
      </c>
      <c r="O303" s="18"/>
      <c r="P303" s="18" t="s">
        <v>397</v>
      </c>
      <c r="Q303" s="18"/>
    </row>
    <row r="304" spans="1:17" ht="12.75">
      <c r="A304">
        <f t="shared" si="9"/>
        <v>293</v>
      </c>
      <c r="B304" s="22">
        <v>38977</v>
      </c>
      <c r="C304" s="16" t="s">
        <v>215</v>
      </c>
      <c r="D304" s="18" t="s">
        <v>521</v>
      </c>
      <c r="E304" s="18" t="s">
        <v>469</v>
      </c>
      <c r="F304" s="23" t="s">
        <v>175</v>
      </c>
      <c r="G304" s="16" t="s">
        <v>453</v>
      </c>
      <c r="H304" s="18">
        <v>2</v>
      </c>
      <c r="I304" s="24">
        <v>0.19068287037037038</v>
      </c>
      <c r="J304" s="20">
        <v>0.01958333333333333</v>
      </c>
      <c r="K304" s="18"/>
      <c r="L304" s="24">
        <v>0.10660879629629628</v>
      </c>
      <c r="M304" s="24">
        <v>0.0012731481481481483</v>
      </c>
      <c r="N304" s="24">
        <v>0.06322916666666667</v>
      </c>
      <c r="O304" s="18"/>
      <c r="P304" s="18"/>
      <c r="Q304" s="18"/>
    </row>
    <row r="305" spans="1:17" ht="12.75">
      <c r="A305">
        <f t="shared" si="9"/>
        <v>294</v>
      </c>
      <c r="B305" s="22">
        <v>38991</v>
      </c>
      <c r="C305" s="16" t="s">
        <v>454</v>
      </c>
      <c r="D305" s="18" t="s">
        <v>521</v>
      </c>
      <c r="E305" s="18" t="s">
        <v>448</v>
      </c>
      <c r="F305" s="16" t="s">
        <v>267</v>
      </c>
      <c r="G305" s="16" t="s">
        <v>205</v>
      </c>
      <c r="H305" s="18">
        <v>4</v>
      </c>
      <c r="I305" s="24">
        <v>0.0739699074074074</v>
      </c>
      <c r="J305" s="79">
        <v>0.020555555555555556</v>
      </c>
      <c r="K305" s="73">
        <v>0.0003125</v>
      </c>
      <c r="L305" s="73">
        <v>0.04127314814814815</v>
      </c>
      <c r="M305" s="73">
        <v>0.0003356481481481481</v>
      </c>
      <c r="N305" s="73">
        <v>0.011493055555555555</v>
      </c>
      <c r="O305" s="65" t="s">
        <v>455</v>
      </c>
      <c r="P305" s="18"/>
      <c r="Q305" s="16" t="s">
        <v>33</v>
      </c>
    </row>
    <row r="306" spans="1:17" ht="12.75">
      <c r="A306">
        <f t="shared" si="9"/>
        <v>295</v>
      </c>
      <c r="B306" s="22">
        <v>39018</v>
      </c>
      <c r="C306" s="16" t="s">
        <v>209</v>
      </c>
      <c r="D306" s="16" t="s">
        <v>521</v>
      </c>
      <c r="E306" s="16" t="s">
        <v>470</v>
      </c>
      <c r="F306" s="31" t="s">
        <v>218</v>
      </c>
      <c r="G306" s="16" t="s">
        <v>449</v>
      </c>
      <c r="H306" s="16">
        <v>3</v>
      </c>
      <c r="I306" s="5">
        <v>0.1040625</v>
      </c>
      <c r="J306" s="4">
        <v>0.0227662037037037</v>
      </c>
      <c r="L306" s="5">
        <v>0.05376157407407408</v>
      </c>
      <c r="M306" s="24"/>
      <c r="N306" s="5">
        <v>0.027523148148148147</v>
      </c>
      <c r="O306" t="s">
        <v>33</v>
      </c>
      <c r="Q306" t="s">
        <v>33</v>
      </c>
    </row>
    <row r="307" spans="1:15" ht="12.75">
      <c r="A307">
        <f t="shared" si="9"/>
        <v>296</v>
      </c>
      <c r="B307" s="86">
        <v>39209</v>
      </c>
      <c r="C307" s="16" t="s">
        <v>25</v>
      </c>
      <c r="D307" s="16" t="s">
        <v>521</v>
      </c>
      <c r="E307" s="16" t="s">
        <v>469</v>
      </c>
      <c r="F307" s="31" t="s">
        <v>268</v>
      </c>
      <c r="G307" s="16" t="s">
        <v>586</v>
      </c>
      <c r="H307" s="16">
        <v>17</v>
      </c>
      <c r="I307" s="5">
        <v>0.015694444444444445</v>
      </c>
      <c r="O307" s="16" t="s">
        <v>566</v>
      </c>
    </row>
    <row r="308" spans="1:15" ht="12.75">
      <c r="A308">
        <f t="shared" si="9"/>
        <v>297</v>
      </c>
      <c r="B308" s="86">
        <v>39209</v>
      </c>
      <c r="C308" s="16" t="s">
        <v>25</v>
      </c>
      <c r="D308" s="16" t="s">
        <v>521</v>
      </c>
      <c r="E308" s="16" t="s">
        <v>469</v>
      </c>
      <c r="F308" s="31" t="s">
        <v>460</v>
      </c>
      <c r="G308" s="16" t="s">
        <v>587</v>
      </c>
      <c r="H308" s="16">
        <v>6</v>
      </c>
      <c r="I308" s="5">
        <v>0.03877314814814815</v>
      </c>
      <c r="O308" s="16" t="s">
        <v>566</v>
      </c>
    </row>
    <row r="309" spans="1:9" ht="12.75">
      <c r="A309">
        <f t="shared" si="9"/>
        <v>298</v>
      </c>
      <c r="B309" s="86">
        <v>39283</v>
      </c>
      <c r="C309" s="16" t="s">
        <v>271</v>
      </c>
      <c r="D309" s="16" t="s">
        <v>148</v>
      </c>
      <c r="E309" s="16" t="s">
        <v>469</v>
      </c>
      <c r="F309" s="31" t="s">
        <v>460</v>
      </c>
      <c r="G309" s="16" t="s">
        <v>588</v>
      </c>
      <c r="H309" s="16">
        <v>4</v>
      </c>
      <c r="I309" s="5">
        <v>0.04114583333333333</v>
      </c>
    </row>
    <row r="310" spans="1:9" ht="12.75">
      <c r="A310">
        <f t="shared" si="9"/>
        <v>299</v>
      </c>
      <c r="B310" s="86">
        <v>39236</v>
      </c>
      <c r="C310" s="16" t="s">
        <v>24</v>
      </c>
      <c r="D310" s="16" t="s">
        <v>521</v>
      </c>
      <c r="E310" s="16" t="s">
        <v>469</v>
      </c>
      <c r="F310" s="31" t="s">
        <v>172</v>
      </c>
      <c r="G310" s="16" t="s">
        <v>63</v>
      </c>
      <c r="H310" s="16">
        <v>3</v>
      </c>
      <c r="I310" s="5">
        <v>0.07958333333333334</v>
      </c>
    </row>
    <row r="311" spans="1:9" ht="12.75">
      <c r="A311">
        <f t="shared" si="9"/>
        <v>300</v>
      </c>
      <c r="B311" s="86">
        <v>39244</v>
      </c>
      <c r="C311" s="16" t="s">
        <v>65</v>
      </c>
      <c r="D311" s="16" t="s">
        <v>521</v>
      </c>
      <c r="E311" s="16" t="s">
        <v>469</v>
      </c>
      <c r="F311" s="31" t="s">
        <v>172</v>
      </c>
      <c r="G311" s="16" t="s">
        <v>63</v>
      </c>
      <c r="H311" s="16">
        <v>1</v>
      </c>
      <c r="I311" s="5">
        <v>0.07535879629629628</v>
      </c>
    </row>
    <row r="312" spans="1:9" ht="12.75">
      <c r="A312">
        <f t="shared" si="9"/>
        <v>301</v>
      </c>
      <c r="B312" s="86">
        <v>39250</v>
      </c>
      <c r="C312" s="16" t="s">
        <v>590</v>
      </c>
      <c r="D312" s="16" t="s">
        <v>521</v>
      </c>
      <c r="E312" s="16" t="s">
        <v>448</v>
      </c>
      <c r="F312" s="31" t="s">
        <v>29</v>
      </c>
      <c r="G312" s="16" t="s">
        <v>591</v>
      </c>
      <c r="H312" s="16">
        <v>3</v>
      </c>
      <c r="I312" s="5">
        <v>0.04238425925925926</v>
      </c>
    </row>
    <row r="313" spans="1:9" ht="12.75">
      <c r="A313">
        <f t="shared" si="9"/>
        <v>302</v>
      </c>
      <c r="B313" s="86">
        <v>39270</v>
      </c>
      <c r="C313" s="16" t="s">
        <v>38</v>
      </c>
      <c r="D313" s="16" t="s">
        <v>521</v>
      </c>
      <c r="E313" s="16" t="s">
        <v>469</v>
      </c>
      <c r="F313" s="31" t="s">
        <v>98</v>
      </c>
      <c r="G313" s="16" t="s">
        <v>99</v>
      </c>
      <c r="H313" s="16">
        <v>65</v>
      </c>
      <c r="I313" s="5">
        <v>0.0845601851851852</v>
      </c>
    </row>
    <row r="314" spans="1:9" ht="12.75">
      <c r="A314">
        <f t="shared" si="9"/>
        <v>303</v>
      </c>
      <c r="B314" s="86">
        <v>39320</v>
      </c>
      <c r="C314" s="16" t="s">
        <v>411</v>
      </c>
      <c r="D314" s="16" t="s">
        <v>521</v>
      </c>
      <c r="E314" s="16" t="s">
        <v>448</v>
      </c>
      <c r="F314" s="31" t="s">
        <v>29</v>
      </c>
      <c r="G314" s="16" t="s">
        <v>593</v>
      </c>
      <c r="H314" s="16">
        <v>3</v>
      </c>
      <c r="I314" s="5">
        <v>0.060451388888888895</v>
      </c>
    </row>
    <row r="315" spans="1:15" ht="12.75">
      <c r="A315">
        <f t="shared" si="9"/>
        <v>304</v>
      </c>
      <c r="B315" s="86">
        <v>39327</v>
      </c>
      <c r="C315" s="16" t="s">
        <v>25</v>
      </c>
      <c r="D315" s="16" t="s">
        <v>521</v>
      </c>
      <c r="E315" s="16" t="s">
        <v>469</v>
      </c>
      <c r="F315" s="31" t="s">
        <v>268</v>
      </c>
      <c r="G315" s="16" t="s">
        <v>335</v>
      </c>
      <c r="H315" s="16">
        <v>1</v>
      </c>
      <c r="I315" s="5">
        <v>0.04255787037037037</v>
      </c>
      <c r="O315" s="16" t="s">
        <v>616</v>
      </c>
    </row>
    <row r="316" spans="1:17" ht="12.75">
      <c r="A316">
        <f t="shared" si="9"/>
        <v>305</v>
      </c>
      <c r="B316" s="86">
        <v>39362</v>
      </c>
      <c r="C316" s="16" t="s">
        <v>594</v>
      </c>
      <c r="D316" s="16" t="s">
        <v>521</v>
      </c>
      <c r="E316" s="16" t="s">
        <v>448</v>
      </c>
      <c r="F316" s="31" t="s">
        <v>267</v>
      </c>
      <c r="G316" s="16" t="s">
        <v>205</v>
      </c>
      <c r="H316" s="16">
        <v>10</v>
      </c>
      <c r="I316" s="5">
        <v>0.07991898148148148</v>
      </c>
      <c r="O316" t="s">
        <v>33</v>
      </c>
      <c r="Q316" t="s">
        <v>33</v>
      </c>
    </row>
    <row r="317" spans="1:17" ht="12.75">
      <c r="A317">
        <f t="shared" si="9"/>
        <v>306</v>
      </c>
      <c r="B317" s="86">
        <v>39382</v>
      </c>
      <c r="C317" s="16" t="s">
        <v>209</v>
      </c>
      <c r="D317" s="16" t="s">
        <v>521</v>
      </c>
      <c r="E317" s="16" t="s">
        <v>470</v>
      </c>
      <c r="F317" s="31" t="s">
        <v>218</v>
      </c>
      <c r="G317" s="16" t="s">
        <v>449</v>
      </c>
      <c r="H317" s="16">
        <v>6</v>
      </c>
      <c r="I317" s="5">
        <v>0.1062037037037037</v>
      </c>
      <c r="J317" s="4">
        <v>0.023923611111111114</v>
      </c>
      <c r="L317" s="5">
        <v>0.05611111111111111</v>
      </c>
      <c r="M317" s="24"/>
      <c r="N317" s="5">
        <v>0.026157407407407407</v>
      </c>
      <c r="O317" t="s">
        <v>33</v>
      </c>
      <c r="Q317" t="s">
        <v>33</v>
      </c>
    </row>
    <row r="318" spans="1:15" ht="12.75">
      <c r="A318">
        <f t="shared" si="9"/>
        <v>307</v>
      </c>
      <c r="B318" s="86">
        <v>39508</v>
      </c>
      <c r="C318" s="16" t="s">
        <v>130</v>
      </c>
      <c r="D318" s="16" t="s">
        <v>521</v>
      </c>
      <c r="E318" s="16" t="s">
        <v>448</v>
      </c>
      <c r="F318" s="31" t="s">
        <v>218</v>
      </c>
      <c r="G318" s="16" t="s">
        <v>62</v>
      </c>
      <c r="H318" s="16">
        <v>12</v>
      </c>
      <c r="I318" s="5">
        <v>0.08038194444444445</v>
      </c>
      <c r="O318" t="s">
        <v>595</v>
      </c>
    </row>
    <row r="319" spans="1:15" ht="12.75">
      <c r="A319">
        <f t="shared" si="9"/>
        <v>308</v>
      </c>
      <c r="B319" s="86">
        <v>39586</v>
      </c>
      <c r="C319" s="16" t="s">
        <v>25</v>
      </c>
      <c r="D319" s="16" t="s">
        <v>521</v>
      </c>
      <c r="E319" s="16" t="s">
        <v>469</v>
      </c>
      <c r="F319" s="31" t="s">
        <v>268</v>
      </c>
      <c r="G319" s="16" t="s">
        <v>586</v>
      </c>
      <c r="H319" s="16">
        <v>22</v>
      </c>
      <c r="I319" s="5">
        <v>0.016145833333333335</v>
      </c>
      <c r="O319" s="16" t="s">
        <v>566</v>
      </c>
    </row>
    <row r="320" spans="1:15" ht="12.75">
      <c r="A320">
        <f t="shared" si="9"/>
        <v>309</v>
      </c>
      <c r="B320" s="86">
        <v>39586</v>
      </c>
      <c r="C320" s="16" t="s">
        <v>25</v>
      </c>
      <c r="D320" s="16" t="s">
        <v>521</v>
      </c>
      <c r="E320" s="16" t="s">
        <v>469</v>
      </c>
      <c r="F320" s="31" t="s">
        <v>460</v>
      </c>
      <c r="G320" s="16" t="s">
        <v>587</v>
      </c>
      <c r="H320" s="16">
        <v>8</v>
      </c>
      <c r="I320" s="5">
        <v>0.039247685185185184</v>
      </c>
      <c r="O320" s="16" t="s">
        <v>566</v>
      </c>
    </row>
    <row r="321" spans="1:9" ht="12.75">
      <c r="A321">
        <f t="shared" si="9"/>
        <v>310</v>
      </c>
      <c r="B321" s="86">
        <v>39606</v>
      </c>
      <c r="C321" s="16" t="s">
        <v>65</v>
      </c>
      <c r="D321" s="16" t="s">
        <v>521</v>
      </c>
      <c r="E321" s="16" t="s">
        <v>469</v>
      </c>
      <c r="F321" s="31" t="s">
        <v>172</v>
      </c>
      <c r="G321" s="16" t="s">
        <v>63</v>
      </c>
      <c r="H321" s="16">
        <v>2</v>
      </c>
      <c r="I321" s="5">
        <v>0.07793981481481481</v>
      </c>
    </row>
    <row r="322" spans="1:9" ht="12.75">
      <c r="A322">
        <f t="shared" si="9"/>
        <v>311</v>
      </c>
      <c r="B322" s="86">
        <v>39614</v>
      </c>
      <c r="C322" s="16" t="s">
        <v>24</v>
      </c>
      <c r="D322" s="16" t="s">
        <v>521</v>
      </c>
      <c r="E322" s="16" t="s">
        <v>469</v>
      </c>
      <c r="F322" s="31" t="s">
        <v>268</v>
      </c>
      <c r="G322" s="16" t="s">
        <v>375</v>
      </c>
      <c r="H322" s="16">
        <v>1</v>
      </c>
      <c r="I322" s="5">
        <v>0.04034722222222222</v>
      </c>
    </row>
    <row r="323" spans="1:9" ht="12.75">
      <c r="A323">
        <f t="shared" si="9"/>
        <v>312</v>
      </c>
      <c r="B323" s="86">
        <v>39634</v>
      </c>
      <c r="C323" s="16" t="s">
        <v>250</v>
      </c>
      <c r="D323" s="16" t="s">
        <v>521</v>
      </c>
      <c r="E323" s="16" t="s">
        <v>469</v>
      </c>
      <c r="F323" s="31" t="s">
        <v>98</v>
      </c>
      <c r="G323" s="16" t="s">
        <v>99</v>
      </c>
      <c r="H323" s="16">
        <v>6</v>
      </c>
      <c r="I323" s="5">
        <v>0.08376157407407407</v>
      </c>
    </row>
    <row r="324" spans="1:9" ht="12.75">
      <c r="A324">
        <f t="shared" si="9"/>
        <v>313</v>
      </c>
      <c r="B324" s="86">
        <v>39679</v>
      </c>
      <c r="C324" s="16" t="s">
        <v>596</v>
      </c>
      <c r="D324" s="16" t="s">
        <v>148</v>
      </c>
      <c r="E324" s="16" t="s">
        <v>469</v>
      </c>
      <c r="F324" s="31" t="s">
        <v>98</v>
      </c>
      <c r="G324" s="16" t="s">
        <v>99</v>
      </c>
      <c r="H324" s="16">
        <v>4</v>
      </c>
      <c r="I324" s="5">
        <v>0.08207175925925926</v>
      </c>
    </row>
    <row r="325" spans="1:15" ht="12.75">
      <c r="A325">
        <f t="shared" si="9"/>
        <v>314</v>
      </c>
      <c r="B325" s="86">
        <v>39698</v>
      </c>
      <c r="C325" s="16" t="s">
        <v>25</v>
      </c>
      <c r="D325" s="16" t="s">
        <v>521</v>
      </c>
      <c r="E325" s="16" t="s">
        <v>469</v>
      </c>
      <c r="F325" s="31" t="s">
        <v>268</v>
      </c>
      <c r="G325" s="16" t="s">
        <v>335</v>
      </c>
      <c r="H325" s="16">
        <v>6</v>
      </c>
      <c r="I325" s="5">
        <v>0.04311342592592593</v>
      </c>
      <c r="O325" s="16" t="s">
        <v>616</v>
      </c>
    </row>
    <row r="326" spans="1:17" ht="12.75">
      <c r="A326">
        <f t="shared" si="9"/>
        <v>315</v>
      </c>
      <c r="B326" s="86">
        <v>39746</v>
      </c>
      <c r="C326" s="16" t="s">
        <v>209</v>
      </c>
      <c r="D326" s="16" t="s">
        <v>521</v>
      </c>
      <c r="E326" s="16" t="s">
        <v>470</v>
      </c>
      <c r="F326" s="31" t="s">
        <v>29</v>
      </c>
      <c r="G326" s="16" t="s">
        <v>449</v>
      </c>
      <c r="H326" s="16">
        <v>6</v>
      </c>
      <c r="I326" s="5">
        <v>0.11024305555555557</v>
      </c>
      <c r="J326" s="4">
        <v>0.024571759259259262</v>
      </c>
      <c r="L326" s="5">
        <v>0.056192129629629634</v>
      </c>
      <c r="M326" s="24"/>
      <c r="N326" s="5">
        <v>0.02946759259259259</v>
      </c>
      <c r="Q326" t="s">
        <v>33</v>
      </c>
    </row>
    <row r="327" spans="1:15" ht="12.75">
      <c r="A327">
        <f t="shared" si="9"/>
        <v>316</v>
      </c>
      <c r="B327" s="86">
        <v>39879</v>
      </c>
      <c r="C327" s="16" t="s">
        <v>130</v>
      </c>
      <c r="D327" s="16" t="s">
        <v>521</v>
      </c>
      <c r="E327" s="16" t="s">
        <v>448</v>
      </c>
      <c r="F327" s="31" t="s">
        <v>29</v>
      </c>
      <c r="G327" s="16" t="s">
        <v>62</v>
      </c>
      <c r="H327" s="16">
        <v>7</v>
      </c>
      <c r="I327" s="5">
        <v>0.0758449074074074</v>
      </c>
      <c r="O327" t="s">
        <v>595</v>
      </c>
    </row>
    <row r="328" spans="1:9" ht="12.75">
      <c r="A328">
        <f t="shared" si="9"/>
        <v>317</v>
      </c>
      <c r="B328" s="86">
        <v>39901</v>
      </c>
      <c r="C328" s="16" t="s">
        <v>25</v>
      </c>
      <c r="D328" s="16" t="s">
        <v>521</v>
      </c>
      <c r="E328" s="16" t="s">
        <v>470</v>
      </c>
      <c r="F328" s="31" t="s">
        <v>29</v>
      </c>
      <c r="G328" s="16" t="s">
        <v>449</v>
      </c>
      <c r="H328" s="16">
        <v>4</v>
      </c>
      <c r="I328" s="5">
        <v>0.11606481481481483</v>
      </c>
    </row>
    <row r="329" spans="1:15" ht="12.75">
      <c r="A329">
        <f t="shared" si="9"/>
        <v>318</v>
      </c>
      <c r="B329" s="86">
        <v>39943</v>
      </c>
      <c r="C329" s="16" t="s">
        <v>25</v>
      </c>
      <c r="D329" s="16" t="s">
        <v>521</v>
      </c>
      <c r="E329" s="16" t="s">
        <v>469</v>
      </c>
      <c r="F329" s="31" t="s">
        <v>268</v>
      </c>
      <c r="G329" s="16" t="s">
        <v>586</v>
      </c>
      <c r="H329" s="16">
        <v>33</v>
      </c>
      <c r="I329" s="5">
        <v>0.01568287037037037</v>
      </c>
      <c r="O329" s="16" t="s">
        <v>566</v>
      </c>
    </row>
    <row r="330" spans="1:15" ht="12.75">
      <c r="A330">
        <f t="shared" si="9"/>
        <v>319</v>
      </c>
      <c r="B330" s="86">
        <v>39943</v>
      </c>
      <c r="C330" s="16" t="s">
        <v>25</v>
      </c>
      <c r="D330" s="16" t="s">
        <v>521</v>
      </c>
      <c r="E330" s="16" t="s">
        <v>469</v>
      </c>
      <c r="F330" s="31" t="s">
        <v>460</v>
      </c>
      <c r="G330" s="16" t="s">
        <v>598</v>
      </c>
      <c r="H330" s="16">
        <v>10</v>
      </c>
      <c r="I330" s="5">
        <v>0.03775462962962963</v>
      </c>
      <c r="O330" s="16" t="s">
        <v>566</v>
      </c>
    </row>
    <row r="331" spans="1:9" ht="12.75">
      <c r="A331">
        <f t="shared" si="9"/>
        <v>320</v>
      </c>
      <c r="B331" s="86">
        <v>39978</v>
      </c>
      <c r="C331" s="16" t="s">
        <v>65</v>
      </c>
      <c r="D331" s="16" t="s">
        <v>521</v>
      </c>
      <c r="E331" s="16" t="s">
        <v>469</v>
      </c>
      <c r="F331" s="31" t="s">
        <v>172</v>
      </c>
      <c r="G331" s="16" t="s">
        <v>63</v>
      </c>
      <c r="H331" s="16">
        <v>1</v>
      </c>
      <c r="I331" s="5">
        <v>0.0762037037037037</v>
      </c>
    </row>
    <row r="332" spans="1:9" ht="12.75">
      <c r="A332">
        <f t="shared" si="9"/>
        <v>321</v>
      </c>
      <c r="B332" s="86">
        <v>39991</v>
      </c>
      <c r="C332" s="16" t="s">
        <v>250</v>
      </c>
      <c r="D332" s="16" t="s">
        <v>521</v>
      </c>
      <c r="E332" s="16" t="s">
        <v>469</v>
      </c>
      <c r="F332" s="31" t="s">
        <v>98</v>
      </c>
      <c r="G332" s="16" t="s">
        <v>99</v>
      </c>
      <c r="H332" s="16">
        <v>2</v>
      </c>
      <c r="I332" s="5">
        <v>0.08194444444444444</v>
      </c>
    </row>
    <row r="333" spans="1:9" ht="12.75">
      <c r="A333">
        <f t="shared" si="9"/>
        <v>322</v>
      </c>
      <c r="B333" s="86">
        <v>39998</v>
      </c>
      <c r="C333" s="16" t="s">
        <v>38</v>
      </c>
      <c r="D333" s="16" t="s">
        <v>521</v>
      </c>
      <c r="E333" s="16" t="s">
        <v>469</v>
      </c>
      <c r="F333" s="31" t="s">
        <v>98</v>
      </c>
      <c r="G333" s="16" t="s">
        <v>99</v>
      </c>
      <c r="H333" s="16">
        <v>25</v>
      </c>
      <c r="I333" s="5">
        <v>0.0866087962962963</v>
      </c>
    </row>
    <row r="334" spans="1:15" ht="12.75">
      <c r="A334">
        <f aca="true" t="shared" si="11" ref="A334:A358">IF(B334=0,"",ROW(A323))</f>
        <v>323</v>
      </c>
      <c r="B334" s="86">
        <v>40062</v>
      </c>
      <c r="C334" s="16" t="s">
        <v>25</v>
      </c>
      <c r="D334" s="16" t="s">
        <v>521</v>
      </c>
      <c r="E334" s="16" t="s">
        <v>469</v>
      </c>
      <c r="F334" s="31" t="s">
        <v>172</v>
      </c>
      <c r="G334" s="16" t="s">
        <v>63</v>
      </c>
      <c r="H334" s="16">
        <v>2</v>
      </c>
      <c r="I334" s="5">
        <v>0.07866898148148148</v>
      </c>
      <c r="O334" s="16" t="s">
        <v>610</v>
      </c>
    </row>
    <row r="335" spans="1:9" ht="12.75">
      <c r="A335">
        <f t="shared" si="11"/>
        <v>324</v>
      </c>
      <c r="B335" s="86">
        <v>40069</v>
      </c>
      <c r="C335" s="16" t="s">
        <v>133</v>
      </c>
      <c r="D335" s="16" t="s">
        <v>521</v>
      </c>
      <c r="E335" s="16" t="s">
        <v>448</v>
      </c>
      <c r="F335" s="31" t="s">
        <v>268</v>
      </c>
      <c r="G335" s="16" t="s">
        <v>422</v>
      </c>
      <c r="H335" s="16">
        <v>13</v>
      </c>
      <c r="I335" s="5">
        <v>0.04278935185185185</v>
      </c>
    </row>
    <row r="336" spans="1:17" ht="12.75">
      <c r="A336">
        <f t="shared" si="11"/>
        <v>325</v>
      </c>
      <c r="B336" s="86">
        <v>40110</v>
      </c>
      <c r="C336" s="16" t="s">
        <v>209</v>
      </c>
      <c r="D336" s="16" t="s">
        <v>521</v>
      </c>
      <c r="E336" s="16" t="s">
        <v>470</v>
      </c>
      <c r="F336" s="31" t="s">
        <v>29</v>
      </c>
      <c r="G336" s="16" t="s">
        <v>449</v>
      </c>
      <c r="H336" s="16">
        <v>5</v>
      </c>
      <c r="I336" s="5">
        <v>0.10876157407407407</v>
      </c>
      <c r="J336" s="4">
        <v>0.025208333333333333</v>
      </c>
      <c r="L336" s="5">
        <v>0.05637731481481482</v>
      </c>
      <c r="M336" s="24"/>
      <c r="N336" s="5">
        <v>0.027164351851851853</v>
      </c>
      <c r="Q336" t="s">
        <v>33</v>
      </c>
    </row>
    <row r="337" spans="1:15" ht="12.75">
      <c r="A337">
        <f t="shared" si="11"/>
        <v>326</v>
      </c>
      <c r="B337" s="86">
        <v>40307</v>
      </c>
      <c r="C337" s="16" t="s">
        <v>25</v>
      </c>
      <c r="D337" s="16" t="s">
        <v>521</v>
      </c>
      <c r="E337" s="16" t="s">
        <v>469</v>
      </c>
      <c r="F337" s="31" t="s">
        <v>268</v>
      </c>
      <c r="G337" s="16" t="s">
        <v>586</v>
      </c>
      <c r="H337" s="16">
        <v>25</v>
      </c>
      <c r="I337" s="5">
        <v>0.01577546296296296</v>
      </c>
      <c r="O337" s="16" t="s">
        <v>566</v>
      </c>
    </row>
    <row r="338" spans="1:15" ht="12.75">
      <c r="A338">
        <f t="shared" si="11"/>
        <v>327</v>
      </c>
      <c r="B338" s="86">
        <v>40307</v>
      </c>
      <c r="C338" s="16" t="s">
        <v>25</v>
      </c>
      <c r="D338" s="16" t="s">
        <v>521</v>
      </c>
      <c r="E338" s="16" t="s">
        <v>469</v>
      </c>
      <c r="F338" s="31" t="s">
        <v>460</v>
      </c>
      <c r="G338" s="16" t="s">
        <v>598</v>
      </c>
      <c r="H338" s="16">
        <v>12</v>
      </c>
      <c r="I338" s="5">
        <v>0.03857638888888889</v>
      </c>
      <c r="O338" s="16" t="s">
        <v>566</v>
      </c>
    </row>
    <row r="339" spans="1:9" ht="12.75">
      <c r="A339">
        <f t="shared" si="11"/>
        <v>328</v>
      </c>
      <c r="B339" s="86">
        <v>40342</v>
      </c>
      <c r="C339" s="16" t="s">
        <v>65</v>
      </c>
      <c r="D339" s="16" t="s">
        <v>521</v>
      </c>
      <c r="E339" s="16" t="s">
        <v>469</v>
      </c>
      <c r="F339" s="31" t="s">
        <v>172</v>
      </c>
      <c r="G339" s="16" t="s">
        <v>63</v>
      </c>
      <c r="H339" s="16">
        <v>2</v>
      </c>
      <c r="I339" s="5">
        <v>0.07629629629629629</v>
      </c>
    </row>
    <row r="340" spans="1:9" ht="12.75">
      <c r="A340">
        <f t="shared" si="11"/>
        <v>329</v>
      </c>
      <c r="B340" s="86">
        <v>40355</v>
      </c>
      <c r="C340" s="16" t="s">
        <v>451</v>
      </c>
      <c r="D340" s="16" t="s">
        <v>521</v>
      </c>
      <c r="E340" s="16" t="s">
        <v>469</v>
      </c>
      <c r="F340" s="31" t="s">
        <v>172</v>
      </c>
      <c r="G340" s="16" t="s">
        <v>63</v>
      </c>
      <c r="H340" s="16">
        <v>3</v>
      </c>
      <c r="I340" s="5">
        <v>0.0783449074074074</v>
      </c>
    </row>
    <row r="341" spans="1:15" ht="12.75">
      <c r="A341">
        <f t="shared" si="11"/>
        <v>330</v>
      </c>
      <c r="B341" s="86">
        <v>40369</v>
      </c>
      <c r="C341" s="16" t="s">
        <v>38</v>
      </c>
      <c r="D341" s="16" t="s">
        <v>521</v>
      </c>
      <c r="E341" s="16" t="s">
        <v>469</v>
      </c>
      <c r="F341" s="31" t="s">
        <v>98</v>
      </c>
      <c r="G341" s="16" t="s">
        <v>99</v>
      </c>
      <c r="H341" s="16">
        <v>4</v>
      </c>
      <c r="I341" s="5">
        <v>0.09518518518518519</v>
      </c>
      <c r="O341" t="s">
        <v>603</v>
      </c>
    </row>
    <row r="342" spans="1:15" ht="12.75">
      <c r="A342">
        <f t="shared" si="11"/>
        <v>331</v>
      </c>
      <c r="B342" s="86">
        <v>40408</v>
      </c>
      <c r="C342" s="16" t="s">
        <v>411</v>
      </c>
      <c r="D342" s="16" t="s">
        <v>521</v>
      </c>
      <c r="E342" s="16" t="s">
        <v>448</v>
      </c>
      <c r="F342" s="31" t="s">
        <v>268</v>
      </c>
      <c r="G342" s="16" t="s">
        <v>611</v>
      </c>
      <c r="H342" s="16">
        <v>8</v>
      </c>
      <c r="I342" s="5">
        <v>0.022997685185185187</v>
      </c>
      <c r="O342" t="s">
        <v>612</v>
      </c>
    </row>
    <row r="343" spans="1:15" ht="12.75">
      <c r="A343">
        <f t="shared" si="11"/>
        <v>332</v>
      </c>
      <c r="B343" s="86">
        <v>40411</v>
      </c>
      <c r="C343" s="16" t="s">
        <v>592</v>
      </c>
      <c r="D343" s="16" t="s">
        <v>521</v>
      </c>
      <c r="E343" s="16" t="s">
        <v>469</v>
      </c>
      <c r="F343" s="31" t="s">
        <v>268</v>
      </c>
      <c r="G343" s="16" t="s">
        <v>613</v>
      </c>
      <c r="H343" s="16">
        <v>1</v>
      </c>
      <c r="I343" s="5">
        <v>0.03695601851851852</v>
      </c>
      <c r="O343" t="s">
        <v>612</v>
      </c>
    </row>
    <row r="344" spans="1:14" ht="12.75">
      <c r="A344">
        <f t="shared" si="11"/>
        <v>333</v>
      </c>
      <c r="B344" s="86">
        <v>40418</v>
      </c>
      <c r="C344" s="16" t="s">
        <v>201</v>
      </c>
      <c r="D344" s="16" t="s">
        <v>521</v>
      </c>
      <c r="E344" s="16" t="s">
        <v>469</v>
      </c>
      <c r="F344" s="31" t="s">
        <v>202</v>
      </c>
      <c r="G344" s="16" t="s">
        <v>249</v>
      </c>
      <c r="H344" s="16">
        <v>37</v>
      </c>
      <c r="I344" s="5">
        <v>0.4059027777777778</v>
      </c>
      <c r="J344" s="5">
        <v>0.037453703703703704</v>
      </c>
      <c r="K344" s="4">
        <v>0.002025462962962963</v>
      </c>
      <c r="L344" s="5">
        <v>0.2126273148148148</v>
      </c>
      <c r="M344" s="5">
        <v>0.003310185185185185</v>
      </c>
      <c r="N344" s="5">
        <v>0.15050925925925926</v>
      </c>
    </row>
    <row r="345" spans="1:15" ht="12.75">
      <c r="A345">
        <f t="shared" si="11"/>
        <v>334</v>
      </c>
      <c r="B345" s="86">
        <v>40433</v>
      </c>
      <c r="C345" s="16" t="s">
        <v>133</v>
      </c>
      <c r="D345" s="16" t="s">
        <v>521</v>
      </c>
      <c r="E345" s="16" t="s">
        <v>448</v>
      </c>
      <c r="F345" s="31" t="s">
        <v>268</v>
      </c>
      <c r="G345" s="16" t="s">
        <v>617</v>
      </c>
      <c r="H345" s="16">
        <v>7</v>
      </c>
      <c r="I345" s="5">
        <v>0.046481481481481485</v>
      </c>
      <c r="J345" s="4">
        <v>0.012118055555555556</v>
      </c>
      <c r="K345" s="5">
        <v>0.0003125</v>
      </c>
      <c r="L345" s="5">
        <v>0.02613425925925926</v>
      </c>
      <c r="M345" s="5">
        <v>0.00023148148148148146</v>
      </c>
      <c r="N345" s="5">
        <v>0.00769675925925926</v>
      </c>
      <c r="O345" t="s">
        <v>618</v>
      </c>
    </row>
    <row r="346" spans="1:17" ht="12.75">
      <c r="A346">
        <f t="shared" si="11"/>
        <v>335</v>
      </c>
      <c r="B346" s="86">
        <v>40481</v>
      </c>
      <c r="C346" s="16" t="s">
        <v>209</v>
      </c>
      <c r="D346" s="16" t="s">
        <v>521</v>
      </c>
      <c r="E346" s="16" t="s">
        <v>470</v>
      </c>
      <c r="F346" s="31" t="s">
        <v>218</v>
      </c>
      <c r="G346" s="16" t="s">
        <v>449</v>
      </c>
      <c r="H346" s="16">
        <v>6</v>
      </c>
      <c r="I346" s="5">
        <v>0.11186342592592592</v>
      </c>
      <c r="J346" s="4">
        <v>0.026331018518518517</v>
      </c>
      <c r="L346" s="5">
        <v>0.05608796296296296</v>
      </c>
      <c r="N346" s="5">
        <v>0.029421296296296296</v>
      </c>
      <c r="O346" s="6" t="s">
        <v>619</v>
      </c>
      <c r="Q346" t="s">
        <v>33</v>
      </c>
    </row>
    <row r="347" ht="12.75">
      <c r="A347">
        <f t="shared" si="11"/>
      </c>
    </row>
    <row r="348" ht="12.75">
      <c r="A348">
        <f t="shared" si="11"/>
      </c>
    </row>
    <row r="349" ht="12.75">
      <c r="A349">
        <f t="shared" si="11"/>
      </c>
    </row>
    <row r="350" ht="12.75">
      <c r="A350">
        <f t="shared" si="11"/>
      </c>
    </row>
    <row r="351" ht="12.75">
      <c r="A351">
        <f t="shared" si="11"/>
      </c>
    </row>
    <row r="352" ht="12.75">
      <c r="A352">
        <f t="shared" si="11"/>
      </c>
    </row>
    <row r="353" ht="12.75">
      <c r="A353">
        <f t="shared" si="11"/>
      </c>
    </row>
    <row r="354" ht="12.75">
      <c r="A354">
        <f t="shared" si="11"/>
      </c>
    </row>
    <row r="355" ht="12.75">
      <c r="A355">
        <f t="shared" si="11"/>
      </c>
    </row>
    <row r="356" ht="12.75">
      <c r="A356">
        <f t="shared" si="11"/>
      </c>
    </row>
    <row r="357" ht="12.75">
      <c r="A357">
        <f t="shared" si="11"/>
      </c>
    </row>
    <row r="358" ht="12.75">
      <c r="A358">
        <f t="shared" si="11"/>
      </c>
    </row>
    <row r="359" ht="12.75">
      <c r="A359">
        <f aca="true" t="shared" si="12" ref="A359:A370">IF(B359=0,"",ROW(A347))</f>
      </c>
    </row>
    <row r="360" ht="12.75">
      <c r="A360">
        <f t="shared" si="12"/>
      </c>
    </row>
    <row r="361" ht="12.75">
      <c r="A361">
        <f t="shared" si="12"/>
      </c>
    </row>
    <row r="362" ht="12.75">
      <c r="A362">
        <f t="shared" si="12"/>
      </c>
    </row>
    <row r="363" ht="12.75">
      <c r="A363">
        <f t="shared" si="12"/>
      </c>
    </row>
    <row r="364" ht="12.75">
      <c r="A364">
        <f t="shared" si="12"/>
      </c>
    </row>
    <row r="365" ht="12.75">
      <c r="A365">
        <f t="shared" si="12"/>
      </c>
    </row>
    <row r="366" ht="12.75">
      <c r="A366">
        <f t="shared" si="12"/>
      </c>
    </row>
    <row r="367" ht="12.75">
      <c r="A367">
        <f t="shared" si="12"/>
      </c>
    </row>
    <row r="368" ht="12.75">
      <c r="A368">
        <f t="shared" si="12"/>
      </c>
    </row>
    <row r="369" ht="12.75">
      <c r="A369">
        <f t="shared" si="12"/>
      </c>
    </row>
    <row r="370" ht="12.75">
      <c r="A370">
        <f t="shared" si="12"/>
      </c>
    </row>
    <row r="371" ht="12.75">
      <c r="A371">
        <f aca="true" t="shared" si="13" ref="A371:A402">IF(B371=0,"",ROW(A359))</f>
      </c>
    </row>
    <row r="372" ht="12.75">
      <c r="A372">
        <f t="shared" si="13"/>
      </c>
    </row>
    <row r="373" ht="12.75">
      <c r="A373">
        <f t="shared" si="13"/>
      </c>
    </row>
    <row r="374" ht="12.75">
      <c r="A374">
        <f t="shared" si="13"/>
      </c>
    </row>
    <row r="375" ht="12.75">
      <c r="A375">
        <f t="shared" si="13"/>
      </c>
    </row>
    <row r="376" ht="12.75">
      <c r="A376">
        <f t="shared" si="13"/>
      </c>
    </row>
    <row r="377" ht="12.75">
      <c r="A377">
        <f t="shared" si="13"/>
      </c>
    </row>
    <row r="378" ht="12.75">
      <c r="A378">
        <f t="shared" si="13"/>
      </c>
    </row>
    <row r="379" ht="12.75">
      <c r="A379">
        <f t="shared" si="13"/>
      </c>
    </row>
    <row r="380" ht="12.75">
      <c r="A380">
        <f t="shared" si="13"/>
      </c>
    </row>
    <row r="381" ht="12.75">
      <c r="A381">
        <f t="shared" si="13"/>
      </c>
    </row>
    <row r="382" ht="12.75">
      <c r="A382">
        <f t="shared" si="13"/>
      </c>
    </row>
    <row r="383" ht="12.75">
      <c r="A383">
        <f t="shared" si="13"/>
      </c>
    </row>
    <row r="384" ht="12.75">
      <c r="A384">
        <f t="shared" si="13"/>
      </c>
    </row>
    <row r="385" ht="12.75">
      <c r="A385">
        <f t="shared" si="13"/>
      </c>
    </row>
    <row r="386" ht="12.75">
      <c r="A386">
        <f t="shared" si="13"/>
      </c>
    </row>
    <row r="387" ht="12.75">
      <c r="A387">
        <f t="shared" si="13"/>
      </c>
    </row>
    <row r="388" ht="12.75">
      <c r="A388">
        <f t="shared" si="13"/>
      </c>
    </row>
    <row r="389" ht="12.75">
      <c r="A389">
        <f t="shared" si="13"/>
      </c>
    </row>
    <row r="390" ht="12.75">
      <c r="A390">
        <f t="shared" si="13"/>
      </c>
    </row>
    <row r="391" ht="12.75">
      <c r="A391">
        <f t="shared" si="13"/>
      </c>
    </row>
    <row r="392" ht="12.75">
      <c r="A392">
        <f t="shared" si="13"/>
      </c>
    </row>
    <row r="393" ht="12.75">
      <c r="A393">
        <f t="shared" si="13"/>
      </c>
    </row>
    <row r="394" ht="12.75">
      <c r="A394">
        <f t="shared" si="13"/>
      </c>
    </row>
    <row r="395" ht="12.75">
      <c r="A395">
        <f t="shared" si="13"/>
      </c>
    </row>
    <row r="396" ht="12.75">
      <c r="A396">
        <f t="shared" si="13"/>
      </c>
    </row>
    <row r="397" ht="12.75">
      <c r="A397">
        <f t="shared" si="13"/>
      </c>
    </row>
    <row r="398" ht="12.75">
      <c r="A398">
        <f t="shared" si="13"/>
      </c>
    </row>
    <row r="399" ht="12.75">
      <c r="A399">
        <f t="shared" si="13"/>
      </c>
    </row>
    <row r="400" ht="12.75">
      <c r="A400">
        <f t="shared" si="13"/>
      </c>
    </row>
    <row r="401" ht="12.75">
      <c r="A401">
        <f t="shared" si="13"/>
      </c>
    </row>
    <row r="402" ht="12.75">
      <c r="A402">
        <f t="shared" si="13"/>
      </c>
    </row>
    <row r="403" ht="12.75">
      <c r="A403">
        <f aca="true" t="shared" si="14" ref="A403:A434">IF(B403=0,"",ROW(A391))</f>
      </c>
    </row>
    <row r="404" ht="12.75">
      <c r="A404">
        <f t="shared" si="14"/>
      </c>
    </row>
    <row r="405" ht="12.75">
      <c r="A405">
        <f t="shared" si="14"/>
      </c>
    </row>
    <row r="406" ht="12.75">
      <c r="A406">
        <f t="shared" si="14"/>
      </c>
    </row>
    <row r="407" ht="12.75">
      <c r="A407">
        <f t="shared" si="14"/>
      </c>
    </row>
    <row r="408" ht="12.75">
      <c r="A408">
        <f t="shared" si="14"/>
      </c>
    </row>
    <row r="409" ht="12.75">
      <c r="A409">
        <f t="shared" si="14"/>
      </c>
    </row>
    <row r="410" ht="12.75">
      <c r="A410">
        <f t="shared" si="14"/>
      </c>
    </row>
    <row r="411" ht="12.75">
      <c r="A411">
        <f t="shared" si="14"/>
      </c>
    </row>
    <row r="412" ht="12.75">
      <c r="A412">
        <f t="shared" si="14"/>
      </c>
    </row>
    <row r="413" ht="12.75">
      <c r="A413">
        <f t="shared" si="14"/>
      </c>
    </row>
    <row r="414" ht="12.75">
      <c r="A414">
        <f t="shared" si="14"/>
      </c>
    </row>
    <row r="415" ht="12.75">
      <c r="A415">
        <f t="shared" si="14"/>
      </c>
    </row>
    <row r="416" ht="12.75">
      <c r="A416">
        <f t="shared" si="14"/>
      </c>
    </row>
    <row r="417" ht="12.75">
      <c r="A417">
        <f t="shared" si="14"/>
      </c>
    </row>
    <row r="418" ht="12.75">
      <c r="A418">
        <f t="shared" si="14"/>
      </c>
    </row>
    <row r="419" ht="12.75">
      <c r="A419">
        <f t="shared" si="14"/>
      </c>
    </row>
    <row r="420" ht="12.75">
      <c r="A420">
        <f t="shared" si="14"/>
      </c>
    </row>
    <row r="421" ht="12.75">
      <c r="A421">
        <f t="shared" si="14"/>
      </c>
    </row>
    <row r="422" ht="12.75">
      <c r="A422">
        <f t="shared" si="14"/>
      </c>
    </row>
    <row r="423" ht="12.75">
      <c r="A423">
        <f t="shared" si="14"/>
      </c>
    </row>
    <row r="424" ht="12.75">
      <c r="A424">
        <f t="shared" si="14"/>
      </c>
    </row>
    <row r="425" ht="12.75">
      <c r="A425">
        <f t="shared" si="14"/>
      </c>
    </row>
    <row r="426" ht="12.75">
      <c r="A426">
        <f t="shared" si="14"/>
      </c>
    </row>
    <row r="427" ht="12.75">
      <c r="A427">
        <f t="shared" si="14"/>
      </c>
    </row>
    <row r="428" ht="12.75">
      <c r="A428">
        <f t="shared" si="14"/>
      </c>
    </row>
    <row r="429" ht="12.75">
      <c r="A429">
        <f t="shared" si="14"/>
      </c>
    </row>
    <row r="430" ht="12.75">
      <c r="A430">
        <f t="shared" si="14"/>
      </c>
    </row>
    <row r="431" ht="12.75">
      <c r="A431">
        <f t="shared" si="14"/>
      </c>
    </row>
    <row r="432" ht="12.75">
      <c r="A432">
        <f t="shared" si="14"/>
      </c>
    </row>
    <row r="433" ht="12.75">
      <c r="A433">
        <f t="shared" si="14"/>
      </c>
    </row>
    <row r="434" ht="12.75">
      <c r="A434">
        <f t="shared" si="14"/>
      </c>
    </row>
    <row r="435" ht="12.75">
      <c r="A435">
        <f aca="true" t="shared" si="15" ref="A435:A466">IF(B435=0,"",ROW(A423))</f>
      </c>
    </row>
    <row r="436" ht="12.75">
      <c r="A436">
        <f t="shared" si="15"/>
      </c>
    </row>
    <row r="437" ht="12.75">
      <c r="A437">
        <f t="shared" si="15"/>
      </c>
    </row>
    <row r="438" ht="12.75">
      <c r="A438">
        <f t="shared" si="15"/>
      </c>
    </row>
    <row r="439" ht="12.75">
      <c r="A439">
        <f t="shared" si="15"/>
      </c>
    </row>
    <row r="440" ht="12.75">
      <c r="A440">
        <f t="shared" si="15"/>
      </c>
    </row>
    <row r="441" ht="12.75">
      <c r="A441">
        <f t="shared" si="15"/>
      </c>
    </row>
    <row r="442" ht="12.75">
      <c r="A442">
        <f t="shared" si="15"/>
      </c>
    </row>
    <row r="443" ht="12.75">
      <c r="A443">
        <f t="shared" si="15"/>
      </c>
    </row>
    <row r="444" ht="12.75">
      <c r="A444">
        <f t="shared" si="15"/>
      </c>
    </row>
    <row r="445" ht="12.75">
      <c r="A445">
        <f t="shared" si="15"/>
      </c>
    </row>
    <row r="446" ht="12.75">
      <c r="A446">
        <f t="shared" si="15"/>
      </c>
    </row>
    <row r="447" ht="12.75">
      <c r="A447">
        <f t="shared" si="15"/>
      </c>
    </row>
    <row r="448" ht="12.75">
      <c r="A448">
        <f t="shared" si="15"/>
      </c>
    </row>
    <row r="449" ht="12.75">
      <c r="A449">
        <f t="shared" si="15"/>
      </c>
    </row>
    <row r="450" ht="12.75">
      <c r="A450">
        <f t="shared" si="15"/>
      </c>
    </row>
    <row r="451" ht="12.75">
      <c r="A451">
        <f t="shared" si="15"/>
      </c>
    </row>
    <row r="452" ht="12.75">
      <c r="A452">
        <f t="shared" si="15"/>
      </c>
    </row>
    <row r="453" ht="12.75">
      <c r="A453">
        <f t="shared" si="15"/>
      </c>
    </row>
    <row r="454" ht="12.75">
      <c r="A454">
        <f t="shared" si="15"/>
      </c>
    </row>
    <row r="455" ht="12.75">
      <c r="A455">
        <f t="shared" si="15"/>
      </c>
    </row>
    <row r="456" ht="12.75">
      <c r="A456">
        <f t="shared" si="15"/>
      </c>
    </row>
    <row r="457" ht="12.75">
      <c r="A457">
        <f t="shared" si="15"/>
      </c>
    </row>
    <row r="458" ht="12.75">
      <c r="A458">
        <f t="shared" si="15"/>
      </c>
    </row>
    <row r="459" ht="12.75">
      <c r="A459">
        <f t="shared" si="15"/>
      </c>
    </row>
    <row r="460" ht="12.75">
      <c r="A460">
        <f t="shared" si="15"/>
      </c>
    </row>
    <row r="461" ht="12.75">
      <c r="A461">
        <f t="shared" si="15"/>
      </c>
    </row>
    <row r="462" ht="12.75">
      <c r="A462">
        <f t="shared" si="15"/>
      </c>
    </row>
    <row r="463" ht="12.75">
      <c r="A463">
        <f t="shared" si="15"/>
      </c>
    </row>
    <row r="464" ht="12.75">
      <c r="A464">
        <f t="shared" si="15"/>
      </c>
    </row>
    <row r="465" ht="12.75">
      <c r="A465">
        <f t="shared" si="15"/>
      </c>
    </row>
    <row r="466" ht="12.75">
      <c r="A466">
        <f t="shared" si="15"/>
      </c>
    </row>
    <row r="467" ht="12.75">
      <c r="A467">
        <f aca="true" t="shared" si="16" ref="A467:A498">IF(B467=0,"",ROW(A455))</f>
      </c>
    </row>
    <row r="468" ht="12.75">
      <c r="A468">
        <f t="shared" si="16"/>
      </c>
    </row>
    <row r="469" ht="12.75">
      <c r="A469">
        <f t="shared" si="16"/>
      </c>
    </row>
    <row r="470" ht="12.75">
      <c r="A470">
        <f t="shared" si="16"/>
      </c>
    </row>
    <row r="471" ht="12.75">
      <c r="A471">
        <f t="shared" si="16"/>
      </c>
    </row>
    <row r="472" ht="12.75">
      <c r="A472">
        <f t="shared" si="16"/>
      </c>
    </row>
    <row r="473" ht="12.75">
      <c r="A473">
        <f t="shared" si="16"/>
      </c>
    </row>
    <row r="474" ht="12.75">
      <c r="A474">
        <f t="shared" si="16"/>
      </c>
    </row>
    <row r="475" ht="12.75">
      <c r="A475">
        <f t="shared" si="16"/>
      </c>
    </row>
    <row r="476" ht="12.75">
      <c r="A476">
        <f t="shared" si="16"/>
      </c>
    </row>
    <row r="477" ht="12.75">
      <c r="A477">
        <f t="shared" si="16"/>
      </c>
    </row>
    <row r="478" ht="12.75">
      <c r="A478">
        <f t="shared" si="16"/>
      </c>
    </row>
    <row r="479" ht="12.75">
      <c r="A479">
        <f t="shared" si="16"/>
      </c>
    </row>
    <row r="480" ht="12.75">
      <c r="A480">
        <f t="shared" si="16"/>
      </c>
    </row>
    <row r="481" ht="12.75">
      <c r="A481">
        <f t="shared" si="16"/>
      </c>
    </row>
    <row r="482" ht="12.75">
      <c r="A482">
        <f t="shared" si="16"/>
      </c>
    </row>
    <row r="483" ht="12.75">
      <c r="A483">
        <f t="shared" si="16"/>
      </c>
    </row>
    <row r="484" ht="12.75">
      <c r="A484">
        <f t="shared" si="16"/>
      </c>
    </row>
    <row r="485" ht="12.75">
      <c r="A485">
        <f t="shared" si="16"/>
      </c>
    </row>
    <row r="486" ht="12.75">
      <c r="A486">
        <f t="shared" si="16"/>
      </c>
    </row>
    <row r="487" ht="12.75">
      <c r="A487">
        <f t="shared" si="16"/>
      </c>
    </row>
    <row r="488" ht="12.75">
      <c r="A488">
        <f t="shared" si="16"/>
      </c>
    </row>
    <row r="489" ht="12.75">
      <c r="A489">
        <f t="shared" si="16"/>
      </c>
    </row>
    <row r="490" ht="12.75">
      <c r="A490">
        <f t="shared" si="16"/>
      </c>
    </row>
    <row r="491" ht="12.75">
      <c r="A491">
        <f t="shared" si="16"/>
      </c>
    </row>
    <row r="492" ht="12.75">
      <c r="A492">
        <f t="shared" si="16"/>
      </c>
    </row>
    <row r="493" ht="12.75">
      <c r="A493">
        <f t="shared" si="16"/>
      </c>
    </row>
    <row r="494" ht="12.75">
      <c r="A494">
        <f t="shared" si="16"/>
      </c>
    </row>
    <row r="495" ht="12.75">
      <c r="A495">
        <f t="shared" si="16"/>
      </c>
    </row>
    <row r="496" ht="12.75">
      <c r="A496">
        <f t="shared" si="16"/>
      </c>
    </row>
    <row r="497" ht="12.75">
      <c r="A497">
        <f t="shared" si="16"/>
      </c>
    </row>
    <row r="498" ht="12.75">
      <c r="A498">
        <f t="shared" si="16"/>
      </c>
    </row>
    <row r="499" ht="12.75">
      <c r="A499">
        <f>IF(B499=0,"",ROW(A487))</f>
      </c>
    </row>
  </sheetData>
  <autoFilter ref="A11:R501"/>
  <conditionalFormatting sqref="K156:K172 K263 I267 I20 I276 J37:J38 I161 B161:F161 B4:C4 E4:F4 J1:J9 H10:H11 H307:H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H12:H306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3" operator="equal" stopIfTrue="1">
      <formula>3</formula>
    </cfRule>
  </conditionalFormatting>
  <printOptions/>
  <pageMargins left="0.75" right="0.75" top="1" bottom="1" header="0.5" footer="0.5"/>
  <pageSetup horizontalDpi="300" verticalDpi="300" orientation="portrait" paperSize="9" r:id="rId1"/>
  <ignoredErrors>
    <ignoredError sqref="M3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"/>
  <sheetViews>
    <sheetView zoomScale="75" zoomScaleNormal="75" workbookViewId="0" topLeftCell="A1">
      <selection activeCell="G6" sqref="G6"/>
    </sheetView>
  </sheetViews>
  <sheetFormatPr defaultColWidth="9.140625" defaultRowHeight="12.75"/>
  <cols>
    <col min="1" max="1" width="4.00390625" style="0" bestFit="1" customWidth="1"/>
    <col min="2" max="2" width="9.140625" style="10" customWidth="1"/>
    <col min="3" max="3" width="10.28125" style="0" bestFit="1" customWidth="1"/>
    <col min="4" max="4" width="6.28125" style="0" bestFit="1" customWidth="1"/>
    <col min="5" max="5" width="9.8515625" style="0" bestFit="1" customWidth="1"/>
    <col min="7" max="7" width="11.421875" style="0" bestFit="1" customWidth="1"/>
    <col min="8" max="8" width="10.00390625" style="0" bestFit="1" customWidth="1"/>
    <col min="9" max="9" width="14.00390625" style="0" bestFit="1" customWidth="1"/>
    <col min="10" max="10" width="7.140625" style="0" bestFit="1" customWidth="1"/>
    <col min="11" max="11" width="11.57421875" style="0" bestFit="1" customWidth="1"/>
    <col min="12" max="12" width="8.140625" style="0" bestFit="1" customWidth="1"/>
    <col min="13" max="13" width="11.57421875" style="0" bestFit="1" customWidth="1"/>
    <col min="14" max="14" width="7.57421875" style="4" bestFit="1" customWidth="1"/>
    <col min="15" max="15" width="11.7109375" style="0" bestFit="1" customWidth="1"/>
    <col min="16" max="16" width="24.28125" style="0" bestFit="1" customWidth="1"/>
    <col min="17" max="17" width="11.7109375" style="0" bestFit="1" customWidth="1"/>
  </cols>
  <sheetData>
    <row r="1" spans="1:17" ht="12.75">
      <c r="A1" s="1" t="s">
        <v>4</v>
      </c>
      <c r="B1" s="14" t="s">
        <v>10</v>
      </c>
      <c r="C1" s="1" t="s">
        <v>11</v>
      </c>
      <c r="D1" s="1" t="s">
        <v>147</v>
      </c>
      <c r="E1" s="1" t="s">
        <v>468</v>
      </c>
      <c r="F1" s="2" t="s">
        <v>0</v>
      </c>
      <c r="G1" s="1" t="s">
        <v>14</v>
      </c>
      <c r="H1" s="1" t="s">
        <v>15</v>
      </c>
      <c r="I1" s="1" t="s">
        <v>9</v>
      </c>
      <c r="J1" s="1" t="s">
        <v>5</v>
      </c>
      <c r="K1" s="1" t="s">
        <v>6</v>
      </c>
      <c r="L1" s="1" t="s">
        <v>7</v>
      </c>
      <c r="M1" s="1" t="s">
        <v>6</v>
      </c>
      <c r="N1" s="11" t="s">
        <v>8</v>
      </c>
      <c r="O1" s="1" t="s">
        <v>12</v>
      </c>
      <c r="P1" s="1" t="s">
        <v>252</v>
      </c>
      <c r="Q1" s="1" t="s">
        <v>187</v>
      </c>
    </row>
    <row r="2" spans="1:16" ht="12.75">
      <c r="A2">
        <f>ROW(A1)</f>
        <v>1</v>
      </c>
      <c r="B2" s="10">
        <v>33239</v>
      </c>
      <c r="C2" t="s">
        <v>197</v>
      </c>
      <c r="E2" t="s">
        <v>448</v>
      </c>
      <c r="F2" t="s">
        <v>198</v>
      </c>
      <c r="P2" t="s">
        <v>199</v>
      </c>
    </row>
    <row r="3" spans="1:16" ht="12.75">
      <c r="A3">
        <f aca="true" t="shared" si="0" ref="A3:A11">ROW(A2)</f>
        <v>2</v>
      </c>
      <c r="B3" s="10">
        <v>34538</v>
      </c>
      <c r="C3" t="s">
        <v>38</v>
      </c>
      <c r="E3" t="s">
        <v>469</v>
      </c>
      <c r="F3" t="s">
        <v>172</v>
      </c>
      <c r="G3" t="s">
        <v>607</v>
      </c>
      <c r="H3">
        <v>2</v>
      </c>
      <c r="P3" t="s">
        <v>200</v>
      </c>
    </row>
    <row r="4" spans="1:16" ht="12.75">
      <c r="A4">
        <f t="shared" si="0"/>
        <v>3</v>
      </c>
      <c r="B4" s="10">
        <v>34559</v>
      </c>
      <c r="C4" t="s">
        <v>136</v>
      </c>
      <c r="E4" t="s">
        <v>469</v>
      </c>
      <c r="F4" t="s">
        <v>98</v>
      </c>
      <c r="G4" t="s">
        <v>608</v>
      </c>
      <c r="H4">
        <v>1</v>
      </c>
      <c r="J4" s="5">
        <v>0.01332175925925926</v>
      </c>
      <c r="L4" s="5">
        <v>0.03923611111111111</v>
      </c>
      <c r="P4" t="s">
        <v>200</v>
      </c>
    </row>
    <row r="5" spans="1:16" ht="12.75">
      <c r="A5">
        <f t="shared" si="0"/>
        <v>4</v>
      </c>
      <c r="B5" s="10">
        <v>34916</v>
      </c>
      <c r="C5" t="s">
        <v>203</v>
      </c>
      <c r="D5" t="s">
        <v>148</v>
      </c>
      <c r="E5" t="s">
        <v>469</v>
      </c>
      <c r="F5" t="s">
        <v>98</v>
      </c>
      <c r="G5" t="s">
        <v>609</v>
      </c>
      <c r="O5" t="s">
        <v>234</v>
      </c>
      <c r="P5" t="s">
        <v>204</v>
      </c>
    </row>
    <row r="6" spans="1:16" ht="12.75">
      <c r="A6">
        <f t="shared" si="0"/>
        <v>5</v>
      </c>
      <c r="B6" s="10">
        <v>36040</v>
      </c>
      <c r="C6" t="s">
        <v>201</v>
      </c>
      <c r="E6" t="s">
        <v>469</v>
      </c>
      <c r="F6" t="s">
        <v>202</v>
      </c>
      <c r="G6" t="s">
        <v>478</v>
      </c>
      <c r="P6" t="s">
        <v>548</v>
      </c>
    </row>
    <row r="7" spans="1:17" ht="12.75">
      <c r="A7">
        <f t="shared" si="0"/>
        <v>6</v>
      </c>
      <c r="B7" s="10">
        <v>38536</v>
      </c>
      <c r="C7" t="s">
        <v>354</v>
      </c>
      <c r="D7" t="s">
        <v>355</v>
      </c>
      <c r="E7" t="s">
        <v>469</v>
      </c>
      <c r="F7" t="s">
        <v>189</v>
      </c>
      <c r="G7" t="s">
        <v>477</v>
      </c>
      <c r="H7">
        <v>6</v>
      </c>
      <c r="J7" s="5">
        <v>0.03736111111111111</v>
      </c>
      <c r="K7" s="5">
        <v>0.000636574074074074</v>
      </c>
      <c r="L7" s="5">
        <v>0.12883101851851853</v>
      </c>
      <c r="M7" s="5">
        <v>0.0006597222222222221</v>
      </c>
      <c r="N7" s="4">
        <v>0.020833333333333332</v>
      </c>
      <c r="P7" t="s">
        <v>549</v>
      </c>
      <c r="Q7" t="s">
        <v>230</v>
      </c>
    </row>
    <row r="8" spans="1:16" ht="12.75">
      <c r="A8">
        <f t="shared" si="0"/>
        <v>7</v>
      </c>
      <c r="B8" s="10">
        <v>38769</v>
      </c>
      <c r="C8" t="s">
        <v>215</v>
      </c>
      <c r="E8" t="s">
        <v>479</v>
      </c>
      <c r="F8" t="s">
        <v>480</v>
      </c>
      <c r="P8" t="s">
        <v>547</v>
      </c>
    </row>
    <row r="9" spans="1:17" ht="12.75">
      <c r="A9">
        <f t="shared" si="0"/>
        <v>8</v>
      </c>
      <c r="B9" s="10">
        <v>40363</v>
      </c>
      <c r="C9" t="s">
        <v>26</v>
      </c>
      <c r="D9" t="s">
        <v>521</v>
      </c>
      <c r="E9" t="s">
        <v>469</v>
      </c>
      <c r="F9" t="s">
        <v>98</v>
      </c>
      <c r="G9" t="s">
        <v>99</v>
      </c>
      <c r="H9">
        <v>1</v>
      </c>
      <c r="P9" t="s">
        <v>605</v>
      </c>
      <c r="Q9" t="s">
        <v>606</v>
      </c>
    </row>
    <row r="10" ht="12.75">
      <c r="A10">
        <f t="shared" si="0"/>
        <v>9</v>
      </c>
    </row>
    <row r="11" ht="12.75">
      <c r="A11">
        <f t="shared" si="0"/>
        <v>10</v>
      </c>
    </row>
  </sheetData>
  <conditionalFormatting sqref="H1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C37" sqref="C37"/>
    </sheetView>
  </sheetViews>
  <sheetFormatPr defaultColWidth="9.140625" defaultRowHeight="12.75"/>
  <sheetData>
    <row r="1" spans="1:18" s="18" customFormat="1" ht="12.75">
      <c r="A1" s="25" t="s">
        <v>4</v>
      </c>
      <c r="B1" s="53" t="s">
        <v>10</v>
      </c>
      <c r="C1" s="34" t="s">
        <v>11</v>
      </c>
      <c r="D1" s="34" t="s">
        <v>147</v>
      </c>
      <c r="E1" s="34" t="s">
        <v>468</v>
      </c>
      <c r="F1" s="54" t="s">
        <v>0</v>
      </c>
      <c r="G1" s="34" t="s">
        <v>512</v>
      </c>
      <c r="H1" s="34" t="s">
        <v>15</v>
      </c>
      <c r="I1" s="34" t="s">
        <v>497</v>
      </c>
      <c r="J1" s="78" t="s">
        <v>5</v>
      </c>
      <c r="K1" s="34" t="s">
        <v>6</v>
      </c>
      <c r="L1" s="34" t="s">
        <v>7</v>
      </c>
      <c r="M1" s="34" t="s">
        <v>6</v>
      </c>
      <c r="N1" s="34" t="s">
        <v>8</v>
      </c>
      <c r="O1" s="34" t="s">
        <v>12</v>
      </c>
      <c r="P1" s="34" t="s">
        <v>20</v>
      </c>
      <c r="Q1" s="34" t="s">
        <v>319</v>
      </c>
      <c r="R1" s="66" t="s">
        <v>33</v>
      </c>
    </row>
    <row r="2" spans="1:17" ht="12.75">
      <c r="A2">
        <v>91</v>
      </c>
      <c r="B2" s="22">
        <v>34791</v>
      </c>
      <c r="C2" s="16" t="s">
        <v>140</v>
      </c>
      <c r="D2" s="18" t="s">
        <v>521</v>
      </c>
      <c r="E2" s="18" t="s">
        <v>448</v>
      </c>
      <c r="F2" s="16" t="s">
        <v>141</v>
      </c>
      <c r="G2" s="16" t="s">
        <v>170</v>
      </c>
      <c r="H2" s="18">
        <v>2</v>
      </c>
      <c r="I2" s="24">
        <v>0.11628472222222223</v>
      </c>
      <c r="J2" s="20">
        <v>0.03422453703703703</v>
      </c>
      <c r="K2" s="18"/>
      <c r="L2" s="24">
        <v>0.06497685185185186</v>
      </c>
      <c r="M2" s="18"/>
      <c r="N2" s="20">
        <v>0.016979166666666667</v>
      </c>
      <c r="O2" s="18" t="s">
        <v>33</v>
      </c>
      <c r="P2" s="18"/>
      <c r="Q2" s="18" t="s">
        <v>33</v>
      </c>
    </row>
    <row r="3" spans="1:17" ht="12.75">
      <c r="A3">
        <v>138</v>
      </c>
      <c r="B3" s="22">
        <v>35533</v>
      </c>
      <c r="C3" s="16" t="s">
        <v>140</v>
      </c>
      <c r="D3" s="18" t="s">
        <v>521</v>
      </c>
      <c r="E3" s="18" t="s">
        <v>448</v>
      </c>
      <c r="F3" s="16" t="s">
        <v>267</v>
      </c>
      <c r="G3" s="16" t="s">
        <v>205</v>
      </c>
      <c r="H3" s="18">
        <v>3</v>
      </c>
      <c r="I3" s="24">
        <v>0.0756712962962963</v>
      </c>
      <c r="J3" s="20">
        <v>0.02326388888888889</v>
      </c>
      <c r="K3" s="24"/>
      <c r="L3" s="5">
        <v>0.04128472222222222</v>
      </c>
      <c r="M3" s="24">
        <v>1.157407407408051E-05</v>
      </c>
      <c r="N3" s="20">
        <v>0.011111111111111112</v>
      </c>
      <c r="O3" s="65" t="s">
        <v>302</v>
      </c>
      <c r="P3" s="18"/>
      <c r="Q3" s="18" t="s">
        <v>33</v>
      </c>
    </row>
    <row r="4" spans="1:17" ht="12.75">
      <c r="A4">
        <v>188</v>
      </c>
      <c r="B4" s="22">
        <v>36358</v>
      </c>
      <c r="C4" s="16" t="s">
        <v>38</v>
      </c>
      <c r="D4" s="18" t="s">
        <v>521</v>
      </c>
      <c r="E4" s="18" t="s">
        <v>469</v>
      </c>
      <c r="F4" s="23" t="s">
        <v>98</v>
      </c>
      <c r="G4" s="16" t="s">
        <v>99</v>
      </c>
      <c r="H4" s="18">
        <v>3</v>
      </c>
      <c r="I4" s="24">
        <v>0.07738425925925925</v>
      </c>
      <c r="J4" s="20">
        <v>0.013958333333333335</v>
      </c>
      <c r="K4" s="18"/>
      <c r="L4" s="24">
        <v>0.03902777777777778</v>
      </c>
      <c r="M4" s="24">
        <v>0.0003356481481481481</v>
      </c>
      <c r="N4" s="24">
        <v>0.0240625</v>
      </c>
      <c r="O4" s="65" t="s">
        <v>517</v>
      </c>
      <c r="P4" s="18"/>
      <c r="Q4" s="18" t="s">
        <v>33</v>
      </c>
    </row>
    <row r="5" spans="1:17" ht="12.75">
      <c r="A5">
        <v>208</v>
      </c>
      <c r="B5" s="22">
        <v>36771</v>
      </c>
      <c r="C5" s="18" t="s">
        <v>201</v>
      </c>
      <c r="D5" s="18" t="s">
        <v>521</v>
      </c>
      <c r="E5" s="18" t="s">
        <v>469</v>
      </c>
      <c r="F5" s="24" t="s">
        <v>202</v>
      </c>
      <c r="G5" s="24" t="s">
        <v>249</v>
      </c>
      <c r="H5" s="18">
        <v>2</v>
      </c>
      <c r="I5" s="20">
        <v>0.35210648148148144</v>
      </c>
      <c r="J5" s="20">
        <v>0.03775462962962963</v>
      </c>
      <c r="K5" s="16"/>
      <c r="L5" s="24">
        <v>0.19189814814814818</v>
      </c>
      <c r="M5" s="24">
        <v>0</v>
      </c>
      <c r="N5" s="24">
        <v>0.12245370370370372</v>
      </c>
      <c r="O5" s="50" t="s">
        <v>381</v>
      </c>
      <c r="P5" s="18"/>
      <c r="Q5" s="24" t="s">
        <v>33</v>
      </c>
    </row>
    <row r="6" spans="1:17" ht="12.75">
      <c r="A6">
        <v>227</v>
      </c>
      <c r="B6" s="22">
        <v>37198</v>
      </c>
      <c r="C6" s="18" t="s">
        <v>209</v>
      </c>
      <c r="D6" s="18" t="s">
        <v>521</v>
      </c>
      <c r="E6" s="18" t="s">
        <v>470</v>
      </c>
      <c r="F6" s="18" t="s">
        <v>210</v>
      </c>
      <c r="G6" s="18" t="s">
        <v>211</v>
      </c>
      <c r="H6" s="18">
        <v>2</v>
      </c>
      <c r="I6" s="24">
        <v>0.2232060185185185</v>
      </c>
      <c r="J6" s="20">
        <v>0.04936342592592593</v>
      </c>
      <c r="K6" s="18"/>
      <c r="L6" s="24">
        <v>0.11552083333333334</v>
      </c>
      <c r="M6" s="24"/>
      <c r="N6" s="24">
        <v>0.058460648148148144</v>
      </c>
      <c r="O6" s="18"/>
      <c r="P6" s="18"/>
      <c r="Q6" s="18" t="s">
        <v>33</v>
      </c>
    </row>
    <row r="7" spans="1:17" ht="12.75">
      <c r="A7">
        <v>231</v>
      </c>
      <c r="B7" s="22">
        <v>37402</v>
      </c>
      <c r="C7" s="16" t="s">
        <v>308</v>
      </c>
      <c r="D7" s="18" t="s">
        <v>521</v>
      </c>
      <c r="E7" s="18" t="s">
        <v>469</v>
      </c>
      <c r="F7" s="23" t="s">
        <v>175</v>
      </c>
      <c r="G7" s="32" t="s">
        <v>401</v>
      </c>
      <c r="H7" s="18">
        <v>3</v>
      </c>
      <c r="I7" s="24">
        <v>0.16806712962962964</v>
      </c>
      <c r="J7" s="20">
        <v>0.023402777777777783</v>
      </c>
      <c r="K7" s="18"/>
      <c r="L7" s="24">
        <v>0.09326388888888888</v>
      </c>
      <c r="M7" s="24">
        <v>0</v>
      </c>
      <c r="N7" s="24">
        <v>0.05140046296296297</v>
      </c>
      <c r="O7" s="64" t="s">
        <v>540</v>
      </c>
      <c r="P7" s="18"/>
      <c r="Q7" s="18" t="s">
        <v>33</v>
      </c>
    </row>
    <row r="8" spans="1:17" ht="12.75">
      <c r="A8">
        <v>239</v>
      </c>
      <c r="B8" s="22">
        <v>37506</v>
      </c>
      <c r="C8" s="18" t="s">
        <v>407</v>
      </c>
      <c r="D8" s="18" t="s">
        <v>521</v>
      </c>
      <c r="E8" s="18" t="s">
        <v>448</v>
      </c>
      <c r="F8" s="16" t="s">
        <v>267</v>
      </c>
      <c r="G8" s="18" t="s">
        <v>205</v>
      </c>
      <c r="H8" s="18">
        <v>3</v>
      </c>
      <c r="I8" s="24">
        <v>0.07611111111111112</v>
      </c>
      <c r="J8" s="20"/>
      <c r="K8" s="18"/>
      <c r="L8" s="18"/>
      <c r="M8" s="18"/>
      <c r="N8" s="20"/>
      <c r="O8" s="18" t="s">
        <v>33</v>
      </c>
      <c r="P8" s="18"/>
      <c r="Q8" s="18" t="s">
        <v>33</v>
      </c>
    </row>
    <row r="9" spans="1:17" ht="12.75">
      <c r="A9">
        <v>241</v>
      </c>
      <c r="B9" s="22">
        <v>37555</v>
      </c>
      <c r="C9" s="18" t="s">
        <v>209</v>
      </c>
      <c r="D9" s="18" t="s">
        <v>521</v>
      </c>
      <c r="E9" s="18" t="s">
        <v>470</v>
      </c>
      <c r="F9" s="18" t="s">
        <v>210</v>
      </c>
      <c r="G9" s="18" t="s">
        <v>211</v>
      </c>
      <c r="H9" s="18">
        <v>2</v>
      </c>
      <c r="I9" s="24">
        <v>0.2310185185185185</v>
      </c>
      <c r="J9" s="20"/>
      <c r="K9" s="18"/>
      <c r="L9" s="18"/>
      <c r="M9" s="18"/>
      <c r="N9" s="18"/>
      <c r="O9" s="18"/>
      <c r="P9" s="18"/>
      <c r="Q9" s="18" t="s">
        <v>33</v>
      </c>
    </row>
    <row r="10" spans="1:17" ht="12.75">
      <c r="A10">
        <v>248</v>
      </c>
      <c r="B10" s="22">
        <v>37801</v>
      </c>
      <c r="C10" s="16" t="s">
        <v>92</v>
      </c>
      <c r="D10" s="18" t="s">
        <v>521</v>
      </c>
      <c r="E10" s="18" t="s">
        <v>469</v>
      </c>
      <c r="F10" s="23" t="s">
        <v>189</v>
      </c>
      <c r="G10" s="32" t="s">
        <v>418</v>
      </c>
      <c r="H10" s="18">
        <v>1</v>
      </c>
      <c r="I10" s="24">
        <v>0.23141203703703703</v>
      </c>
      <c r="J10" s="20">
        <v>0.0271875</v>
      </c>
      <c r="K10" s="24">
        <v>0.0009375</v>
      </c>
      <c r="L10" s="24">
        <v>0.1173263888888889</v>
      </c>
      <c r="M10" s="24">
        <v>0.0012152777777777778</v>
      </c>
      <c r="N10" s="24">
        <v>0.0847337962962963</v>
      </c>
      <c r="O10" s="48" t="s">
        <v>542</v>
      </c>
      <c r="P10" s="18"/>
      <c r="Q10" s="18" t="s">
        <v>33</v>
      </c>
    </row>
    <row r="11" spans="1:17" ht="12.75">
      <c r="A11">
        <v>257</v>
      </c>
      <c r="B11" s="22">
        <v>37919</v>
      </c>
      <c r="C11" s="18" t="s">
        <v>209</v>
      </c>
      <c r="D11" s="18" t="s">
        <v>521</v>
      </c>
      <c r="E11" s="18" t="s">
        <v>470</v>
      </c>
      <c r="F11" s="18" t="s">
        <v>210</v>
      </c>
      <c r="G11" s="18" t="s">
        <v>211</v>
      </c>
      <c r="H11" s="18">
        <v>1</v>
      </c>
      <c r="I11" s="24">
        <v>0.21983796296296296</v>
      </c>
      <c r="J11" s="20"/>
      <c r="K11" s="18"/>
      <c r="L11" s="18"/>
      <c r="M11" s="18"/>
      <c r="N11" s="18"/>
      <c r="O11" s="18"/>
      <c r="P11" s="18"/>
      <c r="Q11" s="18" t="s">
        <v>33</v>
      </c>
    </row>
    <row r="12" spans="1:17" ht="12.75">
      <c r="A12">
        <v>262</v>
      </c>
      <c r="B12" s="22">
        <v>38130</v>
      </c>
      <c r="C12" s="16" t="s">
        <v>308</v>
      </c>
      <c r="D12" s="18" t="s">
        <v>521</v>
      </c>
      <c r="E12" s="18" t="s">
        <v>469</v>
      </c>
      <c r="F12" s="23" t="s">
        <v>175</v>
      </c>
      <c r="G12" s="16" t="s">
        <v>401</v>
      </c>
      <c r="H12" s="18">
        <v>1</v>
      </c>
      <c r="I12" s="24">
        <v>0.15949074074074074</v>
      </c>
      <c r="J12" s="20">
        <v>0.02119212962962963</v>
      </c>
      <c r="K12" s="24">
        <v>0.0009375</v>
      </c>
      <c r="L12" s="24">
        <v>0.08760416666666666</v>
      </c>
      <c r="M12" s="24">
        <v>0.0006134259259259259</v>
      </c>
      <c r="N12" s="24">
        <v>0.049143518518518524</v>
      </c>
      <c r="O12" s="16" t="s">
        <v>33</v>
      </c>
      <c r="P12" s="18"/>
      <c r="Q12" s="18" t="s">
        <v>33</v>
      </c>
    </row>
    <row r="13" spans="1:17" ht="12.75">
      <c r="A13">
        <v>270</v>
      </c>
      <c r="B13" s="22">
        <v>38249</v>
      </c>
      <c r="C13" s="16" t="s">
        <v>436</v>
      </c>
      <c r="D13" s="18" t="s">
        <v>521</v>
      </c>
      <c r="E13" s="18" t="s">
        <v>448</v>
      </c>
      <c r="F13" s="16" t="s">
        <v>267</v>
      </c>
      <c r="G13" s="16" t="s">
        <v>205</v>
      </c>
      <c r="H13" s="18">
        <v>3</v>
      </c>
      <c r="I13" s="24">
        <v>0.07714120370370371</v>
      </c>
      <c r="J13" s="20"/>
      <c r="K13" s="18"/>
      <c r="L13" s="18"/>
      <c r="M13" s="18"/>
      <c r="N13" s="20"/>
      <c r="O13" s="18" t="s">
        <v>33</v>
      </c>
      <c r="P13" s="18"/>
      <c r="Q13" s="18" t="s">
        <v>33</v>
      </c>
    </row>
    <row r="14" spans="1:17" ht="12.75">
      <c r="A14">
        <v>271</v>
      </c>
      <c r="B14" s="22">
        <v>38290</v>
      </c>
      <c r="C14" s="18" t="s">
        <v>209</v>
      </c>
      <c r="D14" s="18" t="s">
        <v>521</v>
      </c>
      <c r="E14" s="18" t="s">
        <v>470</v>
      </c>
      <c r="F14" s="18" t="s">
        <v>210</v>
      </c>
      <c r="G14" s="18" t="s">
        <v>211</v>
      </c>
      <c r="H14" s="18">
        <v>1</v>
      </c>
      <c r="I14" s="24">
        <v>0.2210648148148148</v>
      </c>
      <c r="J14" s="20">
        <v>0.04984953703703704</v>
      </c>
      <c r="K14" s="18"/>
      <c r="L14" s="24">
        <v>0.11446759259259259</v>
      </c>
      <c r="M14" s="24">
        <v>0</v>
      </c>
      <c r="N14" s="24">
        <v>0.056747685185185186</v>
      </c>
      <c r="O14" s="18" t="s">
        <v>33</v>
      </c>
      <c r="P14" s="18"/>
      <c r="Q14" s="18" t="s">
        <v>33</v>
      </c>
    </row>
    <row r="15" spans="1:17" ht="12.75">
      <c r="A15">
        <v>283</v>
      </c>
      <c r="B15" s="22">
        <v>38654</v>
      </c>
      <c r="C15" s="16" t="s">
        <v>209</v>
      </c>
      <c r="D15" s="18" t="s">
        <v>521</v>
      </c>
      <c r="E15" s="18" t="s">
        <v>470</v>
      </c>
      <c r="F15" s="16" t="s">
        <v>218</v>
      </c>
      <c r="G15" s="16" t="s">
        <v>449</v>
      </c>
      <c r="H15" s="18">
        <v>2</v>
      </c>
      <c r="I15" s="24">
        <v>0.10304398148148149</v>
      </c>
      <c r="J15" s="20">
        <v>0.023587962962962963</v>
      </c>
      <c r="K15" s="18"/>
      <c r="L15" s="24">
        <v>0.05371527777777777</v>
      </c>
      <c r="M15" s="24">
        <v>0</v>
      </c>
      <c r="N15" s="24">
        <v>0.025740740740740745</v>
      </c>
      <c r="O15" s="16" t="s">
        <v>33</v>
      </c>
      <c r="P15" s="18"/>
      <c r="Q15" s="18" t="s">
        <v>33</v>
      </c>
    </row>
    <row r="16" spans="1:17" ht="12.75">
      <c r="A16">
        <v>285</v>
      </c>
      <c r="B16" s="22">
        <v>38865</v>
      </c>
      <c r="C16" s="16" t="s">
        <v>308</v>
      </c>
      <c r="D16" s="18" t="s">
        <v>521</v>
      </c>
      <c r="E16" s="18" t="s">
        <v>469</v>
      </c>
      <c r="F16" s="23" t="s">
        <v>175</v>
      </c>
      <c r="G16" s="16" t="s">
        <v>401</v>
      </c>
      <c r="H16" s="18">
        <v>2</v>
      </c>
      <c r="I16" s="24">
        <v>0.160625</v>
      </c>
      <c r="J16" s="20">
        <v>0.019108796296296294</v>
      </c>
      <c r="K16" s="18"/>
      <c r="L16" s="24">
        <v>0.08863425925925926</v>
      </c>
      <c r="M16" s="24">
        <v>0</v>
      </c>
      <c r="N16" s="24">
        <v>0.05288194444444444</v>
      </c>
      <c r="O16" s="16" t="s">
        <v>33</v>
      </c>
      <c r="P16" s="18"/>
      <c r="Q16" s="18" t="s">
        <v>33</v>
      </c>
    </row>
    <row r="17" spans="1:17" ht="12.75">
      <c r="A17">
        <v>294</v>
      </c>
      <c r="B17" s="22">
        <v>38991</v>
      </c>
      <c r="C17" s="16" t="s">
        <v>454</v>
      </c>
      <c r="D17" s="18" t="s">
        <v>521</v>
      </c>
      <c r="E17" s="18" t="s">
        <v>448</v>
      </c>
      <c r="F17" s="16" t="s">
        <v>267</v>
      </c>
      <c r="G17" s="16" t="s">
        <v>205</v>
      </c>
      <c r="H17" s="18">
        <v>3</v>
      </c>
      <c r="I17" s="24">
        <v>0.0739699074074074</v>
      </c>
      <c r="J17" s="79">
        <v>0.020555555555555556</v>
      </c>
      <c r="K17" s="73">
        <v>0.0003125</v>
      </c>
      <c r="L17" s="73">
        <v>0.04127314814814815</v>
      </c>
      <c r="M17" s="73">
        <v>0.0003356481481481481</v>
      </c>
      <c r="N17" s="73">
        <v>0.011493055555555555</v>
      </c>
      <c r="O17" s="65" t="s">
        <v>455</v>
      </c>
      <c r="P17" s="18"/>
      <c r="Q17" s="16" t="s">
        <v>33</v>
      </c>
    </row>
    <row r="18" spans="1:17" ht="12.75">
      <c r="A18">
        <v>295</v>
      </c>
      <c r="B18" s="22">
        <v>39018</v>
      </c>
      <c r="C18" s="16" t="s">
        <v>209</v>
      </c>
      <c r="D18" s="16" t="s">
        <v>521</v>
      </c>
      <c r="E18" s="16" t="s">
        <v>470</v>
      </c>
      <c r="F18" s="31" t="s">
        <v>218</v>
      </c>
      <c r="G18" s="16" t="s">
        <v>449</v>
      </c>
      <c r="H18" s="16">
        <v>3</v>
      </c>
      <c r="I18" s="5">
        <v>0.1040625</v>
      </c>
      <c r="J18" s="4">
        <v>0.0227662037037037</v>
      </c>
      <c r="L18" s="5">
        <v>0.05376157407407408</v>
      </c>
      <c r="M18" s="24">
        <v>1.157407407407704E-05</v>
      </c>
      <c r="N18" s="5">
        <v>0.027523148148148147</v>
      </c>
      <c r="O18" t="s">
        <v>33</v>
      </c>
      <c r="Q18" t="s">
        <v>33</v>
      </c>
    </row>
  </sheetData>
  <conditionalFormatting sqref="H1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H2:H18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3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workbookViewId="0" topLeftCell="A1">
      <selection activeCell="G14" sqref="G14"/>
    </sheetView>
  </sheetViews>
  <sheetFormatPr defaultColWidth="9.140625" defaultRowHeight="12.75"/>
  <cols>
    <col min="7" max="7" width="10.7109375" style="0" customWidth="1"/>
    <col min="15" max="15" width="18.8515625" style="0" bestFit="1" customWidth="1"/>
  </cols>
  <sheetData>
    <row r="1" spans="1:18" s="18" customFormat="1" ht="12.75">
      <c r="A1" s="25" t="s">
        <v>4</v>
      </c>
      <c r="B1" s="53" t="s">
        <v>10</v>
      </c>
      <c r="C1" s="34" t="s">
        <v>11</v>
      </c>
      <c r="D1" s="34" t="s">
        <v>147</v>
      </c>
      <c r="E1" s="34" t="s">
        <v>468</v>
      </c>
      <c r="F1" s="54" t="s">
        <v>0</v>
      </c>
      <c r="G1" s="34" t="s">
        <v>512</v>
      </c>
      <c r="H1" s="34" t="s">
        <v>15</v>
      </c>
      <c r="I1" s="34" t="s">
        <v>497</v>
      </c>
      <c r="J1" s="78" t="s">
        <v>5</v>
      </c>
      <c r="K1" s="34" t="s">
        <v>6</v>
      </c>
      <c r="L1" s="34" t="s">
        <v>7</v>
      </c>
      <c r="M1" s="34" t="s">
        <v>6</v>
      </c>
      <c r="N1" s="34" t="s">
        <v>8</v>
      </c>
      <c r="O1" s="34" t="s">
        <v>12</v>
      </c>
      <c r="P1" s="34" t="s">
        <v>20</v>
      </c>
      <c r="Q1" s="34" t="s">
        <v>319</v>
      </c>
      <c r="R1" s="66" t="s">
        <v>33</v>
      </c>
    </row>
    <row r="2" spans="1:17" ht="12.75">
      <c r="A2">
        <f>ROW(A1)</f>
        <v>1</v>
      </c>
      <c r="B2" s="22">
        <v>34511</v>
      </c>
      <c r="C2" s="16" t="s">
        <v>188</v>
      </c>
      <c r="D2" s="18" t="s">
        <v>316</v>
      </c>
      <c r="E2" s="18" t="s">
        <v>469</v>
      </c>
      <c r="F2" s="23" t="s">
        <v>189</v>
      </c>
      <c r="G2" s="16" t="s">
        <v>191</v>
      </c>
      <c r="H2" s="18">
        <v>36</v>
      </c>
      <c r="I2" s="24">
        <v>0.2772800925925926</v>
      </c>
      <c r="J2" s="20">
        <v>0.04172453703703704</v>
      </c>
      <c r="K2" s="18"/>
      <c r="L2" s="24">
        <v>0.15072916666666666</v>
      </c>
      <c r="M2" s="20">
        <v>0.0016087962962963165</v>
      </c>
      <c r="N2" s="24">
        <v>0.08321759259259259</v>
      </c>
      <c r="O2" s="48" t="s">
        <v>515</v>
      </c>
      <c r="P2" s="18"/>
      <c r="Q2" s="18" t="s">
        <v>190</v>
      </c>
    </row>
    <row r="3" spans="1:17" ht="12.75">
      <c r="A3">
        <f aca="true" t="shared" si="0" ref="A3:A22">ROW(A2)</f>
        <v>2</v>
      </c>
      <c r="B3" s="22">
        <v>34819</v>
      </c>
      <c r="C3" s="16" t="s">
        <v>228</v>
      </c>
      <c r="D3" s="18" t="s">
        <v>229</v>
      </c>
      <c r="E3" s="18" t="s">
        <v>448</v>
      </c>
      <c r="F3" s="16" t="s">
        <v>141</v>
      </c>
      <c r="G3" s="16" t="s">
        <v>167</v>
      </c>
      <c r="H3" s="18">
        <v>18</v>
      </c>
      <c r="I3" s="24">
        <v>0.11677083333333334</v>
      </c>
      <c r="J3" s="20">
        <v>0.0355787037037037</v>
      </c>
      <c r="K3" s="16"/>
      <c r="L3" s="24">
        <v>0.061342592592592594</v>
      </c>
      <c r="M3" s="24">
        <v>0</v>
      </c>
      <c r="N3" s="20">
        <v>0.019849537037037037</v>
      </c>
      <c r="O3" s="18" t="s">
        <v>230</v>
      </c>
      <c r="P3" s="18"/>
      <c r="Q3" s="18" t="s">
        <v>230</v>
      </c>
    </row>
    <row r="4" spans="1:17" ht="12.75">
      <c r="A4">
        <f t="shared" si="0"/>
        <v>3</v>
      </c>
      <c r="B4" s="22">
        <v>34973</v>
      </c>
      <c r="C4" s="16" t="s">
        <v>188</v>
      </c>
      <c r="D4" s="18" t="s">
        <v>316</v>
      </c>
      <c r="E4" s="18" t="s">
        <v>469</v>
      </c>
      <c r="F4" s="23" t="s">
        <v>189</v>
      </c>
      <c r="G4" s="16" t="s">
        <v>260</v>
      </c>
      <c r="H4" s="18">
        <v>37</v>
      </c>
      <c r="I4" s="42">
        <v>0.2585648148148148</v>
      </c>
      <c r="J4" s="20">
        <v>0.038356481481481484</v>
      </c>
      <c r="K4" s="18"/>
      <c r="L4" s="24">
        <v>0.1374074074074074</v>
      </c>
      <c r="M4" s="24">
        <v>0</v>
      </c>
      <c r="N4" s="24">
        <v>0.08280092592592593</v>
      </c>
      <c r="O4" s="48" t="s">
        <v>261</v>
      </c>
      <c r="P4" s="18"/>
      <c r="Q4" s="18" t="s">
        <v>190</v>
      </c>
    </row>
    <row r="5" spans="1:17" ht="12.75">
      <c r="A5">
        <f t="shared" si="0"/>
        <v>4</v>
      </c>
      <c r="B5" s="22">
        <v>35008</v>
      </c>
      <c r="C5" s="16" t="s">
        <v>263</v>
      </c>
      <c r="D5" s="18" t="s">
        <v>264</v>
      </c>
      <c r="E5" s="18" t="s">
        <v>448</v>
      </c>
      <c r="F5" s="16" t="s">
        <v>267</v>
      </c>
      <c r="G5" s="16" t="s">
        <v>205</v>
      </c>
      <c r="H5" s="18">
        <v>33</v>
      </c>
      <c r="I5" s="24">
        <v>0.0772800925925926</v>
      </c>
      <c r="J5" s="20">
        <v>0.02431712962962963</v>
      </c>
      <c r="K5" s="18"/>
      <c r="L5" s="24">
        <v>0.04075231481481482</v>
      </c>
      <c r="M5" s="24">
        <v>0</v>
      </c>
      <c r="N5" s="20">
        <v>0.012210648148148146</v>
      </c>
      <c r="O5" s="16" t="s">
        <v>190</v>
      </c>
      <c r="P5" s="18"/>
      <c r="Q5" s="18" t="s">
        <v>190</v>
      </c>
    </row>
    <row r="6" spans="1:17" ht="12.75">
      <c r="A6">
        <f t="shared" si="0"/>
        <v>5</v>
      </c>
      <c r="B6" s="22">
        <v>35253</v>
      </c>
      <c r="C6" s="16" t="s">
        <v>288</v>
      </c>
      <c r="D6" s="18" t="s">
        <v>229</v>
      </c>
      <c r="E6" s="18" t="s">
        <v>469</v>
      </c>
      <c r="F6" s="23" t="s">
        <v>98</v>
      </c>
      <c r="G6" s="16" t="s">
        <v>289</v>
      </c>
      <c r="H6" s="18">
        <v>41</v>
      </c>
      <c r="I6" s="24">
        <v>0.07875</v>
      </c>
      <c r="J6" s="20">
        <v>0.015509259259259257</v>
      </c>
      <c r="K6" s="18"/>
      <c r="L6" s="24">
        <v>0.0370949074074074</v>
      </c>
      <c r="M6" s="24">
        <v>0.001840277777777788</v>
      </c>
      <c r="N6" s="24">
        <v>0.024305555555555556</v>
      </c>
      <c r="O6" s="18" t="s">
        <v>230</v>
      </c>
      <c r="P6" s="18"/>
      <c r="Q6" s="18" t="s">
        <v>230</v>
      </c>
    </row>
    <row r="7" spans="1:17" ht="12.75">
      <c r="A7">
        <f t="shared" si="0"/>
        <v>6</v>
      </c>
      <c r="B7" s="22">
        <v>35322</v>
      </c>
      <c r="C7" s="16" t="s">
        <v>298</v>
      </c>
      <c r="D7" s="18" t="s">
        <v>299</v>
      </c>
      <c r="E7" s="18" t="s">
        <v>448</v>
      </c>
      <c r="F7" s="16" t="s">
        <v>267</v>
      </c>
      <c r="G7" s="16" t="s">
        <v>300</v>
      </c>
      <c r="H7" s="18">
        <v>38</v>
      </c>
      <c r="I7" s="24">
        <v>0.06891203703703704</v>
      </c>
      <c r="J7" s="20">
        <v>0.020949074074074075</v>
      </c>
      <c r="K7" s="18"/>
      <c r="L7" s="24">
        <v>0.03725694444444445</v>
      </c>
      <c r="M7" s="24">
        <v>0</v>
      </c>
      <c r="N7" s="20">
        <v>0.010706018518518517</v>
      </c>
      <c r="O7" s="18" t="s">
        <v>190</v>
      </c>
      <c r="P7" s="18"/>
      <c r="Q7" s="18" t="s">
        <v>190</v>
      </c>
    </row>
    <row r="8" spans="1:17" ht="12.75">
      <c r="A8">
        <f t="shared" si="0"/>
        <v>7</v>
      </c>
      <c r="B8" s="22">
        <v>35568</v>
      </c>
      <c r="C8" s="16" t="s">
        <v>305</v>
      </c>
      <c r="D8" s="18" t="s">
        <v>306</v>
      </c>
      <c r="E8" s="18" t="s">
        <v>448</v>
      </c>
      <c r="F8" s="16" t="s">
        <v>267</v>
      </c>
      <c r="G8" s="16" t="s">
        <v>205</v>
      </c>
      <c r="H8" s="18">
        <v>30</v>
      </c>
      <c r="I8" s="24">
        <v>0.08033564814814814</v>
      </c>
      <c r="J8" s="20"/>
      <c r="K8" s="18"/>
      <c r="L8" s="18"/>
      <c r="M8" s="18"/>
      <c r="N8" s="20"/>
      <c r="O8" s="18" t="s">
        <v>313</v>
      </c>
      <c r="P8" s="18"/>
      <c r="Q8" s="18" t="s">
        <v>230</v>
      </c>
    </row>
    <row r="9" spans="1:17" ht="12.75">
      <c r="A9">
        <f t="shared" si="0"/>
        <v>8</v>
      </c>
      <c r="B9" s="22">
        <v>35618</v>
      </c>
      <c r="C9" s="16" t="s">
        <v>310</v>
      </c>
      <c r="D9" s="18" t="s">
        <v>311</v>
      </c>
      <c r="E9" s="18" t="s">
        <v>469</v>
      </c>
      <c r="F9" s="23" t="s">
        <v>98</v>
      </c>
      <c r="G9" s="16" t="s">
        <v>99</v>
      </c>
      <c r="H9" s="18">
        <v>13</v>
      </c>
      <c r="I9" s="24">
        <v>0.08516203703703705</v>
      </c>
      <c r="J9" s="20">
        <v>0.013460648148148147</v>
      </c>
      <c r="K9" s="18"/>
      <c r="L9" s="24">
        <v>0.046307870370370374</v>
      </c>
      <c r="M9" s="24">
        <v>0.0018287037037037126</v>
      </c>
      <c r="N9" s="24">
        <v>0.023564814814814813</v>
      </c>
      <c r="O9" s="18" t="s">
        <v>313</v>
      </c>
      <c r="P9" s="18"/>
      <c r="Q9" s="18" t="s">
        <v>230</v>
      </c>
    </row>
    <row r="10" spans="1:17" ht="12.75">
      <c r="A10">
        <f t="shared" si="0"/>
        <v>9</v>
      </c>
      <c r="B10" s="22">
        <v>35688</v>
      </c>
      <c r="C10" s="16" t="s">
        <v>320</v>
      </c>
      <c r="D10" s="18" t="s">
        <v>266</v>
      </c>
      <c r="E10" s="18" t="s">
        <v>448</v>
      </c>
      <c r="F10" s="16" t="s">
        <v>267</v>
      </c>
      <c r="G10" s="16" t="s">
        <v>205</v>
      </c>
      <c r="H10" s="18">
        <v>27</v>
      </c>
      <c r="I10" s="24">
        <v>0.07869212962962963</v>
      </c>
      <c r="J10" s="20">
        <v>0.02291666666666667</v>
      </c>
      <c r="K10" s="24">
        <v>0.0004976851851851852</v>
      </c>
      <c r="L10" s="24">
        <v>0.043333333333333335</v>
      </c>
      <c r="M10" s="24">
        <v>0.0005092592592592592</v>
      </c>
      <c r="N10" s="20">
        <v>0.011423611111111112</v>
      </c>
      <c r="O10" s="18" t="s">
        <v>190</v>
      </c>
      <c r="P10" s="18"/>
      <c r="Q10" s="18" t="s">
        <v>190</v>
      </c>
    </row>
    <row r="11" spans="1:17" ht="12.75">
      <c r="A11">
        <f t="shared" si="0"/>
        <v>10</v>
      </c>
      <c r="B11" s="22">
        <v>35981</v>
      </c>
      <c r="C11" s="16" t="s">
        <v>329</v>
      </c>
      <c r="D11" s="18" t="s">
        <v>236</v>
      </c>
      <c r="E11" s="18" t="s">
        <v>469</v>
      </c>
      <c r="F11" s="23" t="s">
        <v>98</v>
      </c>
      <c r="G11" s="16" t="s">
        <v>99</v>
      </c>
      <c r="H11" s="18">
        <v>33</v>
      </c>
      <c r="I11" s="24">
        <v>0.08114583333333333</v>
      </c>
      <c r="J11" s="20"/>
      <c r="K11" s="18"/>
      <c r="L11" s="24"/>
      <c r="M11" s="18"/>
      <c r="N11" s="24"/>
      <c r="O11" s="18" t="s">
        <v>313</v>
      </c>
      <c r="P11" s="16" t="s">
        <v>520</v>
      </c>
      <c r="Q11" s="18" t="s">
        <v>230</v>
      </c>
    </row>
    <row r="12" spans="1:17" ht="12.75">
      <c r="A12">
        <f t="shared" si="0"/>
        <v>11</v>
      </c>
      <c r="B12" s="22">
        <v>36352</v>
      </c>
      <c r="C12" s="16" t="s">
        <v>354</v>
      </c>
      <c r="D12" s="18" t="s">
        <v>355</v>
      </c>
      <c r="E12" s="18" t="s">
        <v>469</v>
      </c>
      <c r="F12" s="23" t="s">
        <v>189</v>
      </c>
      <c r="G12" s="16" t="s">
        <v>492</v>
      </c>
      <c r="H12" s="18">
        <v>15</v>
      </c>
      <c r="I12" s="24">
        <v>0.24876157407407407</v>
      </c>
      <c r="J12" s="20">
        <v>0.03523148148148148</v>
      </c>
      <c r="K12" s="18"/>
      <c r="L12" s="24">
        <v>0.1277777777777778</v>
      </c>
      <c r="M12" s="18"/>
      <c r="N12" s="24">
        <v>0.08402777777777777</v>
      </c>
      <c r="O12" s="18" t="s">
        <v>356</v>
      </c>
      <c r="P12" s="18"/>
      <c r="Q12" s="18" t="s">
        <v>190</v>
      </c>
    </row>
    <row r="13" spans="1:18" ht="12.75">
      <c r="A13">
        <f t="shared" si="0"/>
        <v>12</v>
      </c>
      <c r="B13" s="22">
        <v>36407</v>
      </c>
      <c r="C13" s="16" t="s">
        <v>201</v>
      </c>
      <c r="D13" s="18" t="s">
        <v>521</v>
      </c>
      <c r="E13" s="18" t="s">
        <v>469</v>
      </c>
      <c r="F13" s="23" t="s">
        <v>202</v>
      </c>
      <c r="G13" s="16" t="s">
        <v>249</v>
      </c>
      <c r="H13" s="18">
        <v>14</v>
      </c>
      <c r="I13" s="24">
        <v>0.3536574074074074</v>
      </c>
      <c r="J13" s="20">
        <v>0.034074074074074076</v>
      </c>
      <c r="K13" s="18"/>
      <c r="L13" s="24">
        <v>0.1870023148148148</v>
      </c>
      <c r="M13" s="24">
        <v>0</v>
      </c>
      <c r="N13" s="24">
        <v>0.13258101851851853</v>
      </c>
      <c r="O13" s="18" t="s">
        <v>585</v>
      </c>
      <c r="P13" s="18"/>
      <c r="Q13" s="18" t="s">
        <v>230</v>
      </c>
      <c r="R13" t="s">
        <v>33</v>
      </c>
    </row>
    <row r="14" spans="1:17" ht="12.75">
      <c r="A14">
        <f t="shared" si="0"/>
        <v>13</v>
      </c>
      <c r="B14" s="22">
        <v>36695</v>
      </c>
      <c r="C14" s="18" t="s">
        <v>188</v>
      </c>
      <c r="D14" s="16" t="s">
        <v>316</v>
      </c>
      <c r="E14" s="16" t="s">
        <v>469</v>
      </c>
      <c r="F14" s="23" t="s">
        <v>189</v>
      </c>
      <c r="G14" s="16" t="s">
        <v>376</v>
      </c>
      <c r="H14" s="18">
        <v>27</v>
      </c>
      <c r="I14" s="20">
        <v>0.2841782407407408</v>
      </c>
      <c r="J14" s="20">
        <v>0.03760416666666667</v>
      </c>
      <c r="K14" s="32">
        <v>0.001423611111111111</v>
      </c>
      <c r="L14" s="24">
        <v>0.1561921296296296</v>
      </c>
      <c r="M14" s="24">
        <v>0.0017013888888888892</v>
      </c>
      <c r="N14" s="24">
        <v>0.08725694444444444</v>
      </c>
      <c r="O14" s="24" t="s">
        <v>190</v>
      </c>
      <c r="P14" s="18"/>
      <c r="Q14" s="24" t="s">
        <v>190</v>
      </c>
    </row>
    <row r="15" spans="1:17" ht="12.75">
      <c r="A15">
        <f t="shared" si="0"/>
        <v>14</v>
      </c>
      <c r="B15" s="22">
        <v>37108</v>
      </c>
      <c r="C15" s="16" t="s">
        <v>392</v>
      </c>
      <c r="D15" s="18" t="s">
        <v>393</v>
      </c>
      <c r="E15" s="18" t="s">
        <v>469</v>
      </c>
      <c r="F15" s="23" t="s">
        <v>202</v>
      </c>
      <c r="G15" s="32" t="s">
        <v>249</v>
      </c>
      <c r="H15" s="18">
        <v>15</v>
      </c>
      <c r="I15" s="24">
        <v>0.37146990740740743</v>
      </c>
      <c r="J15" s="20">
        <v>0.03585648148148148</v>
      </c>
      <c r="K15" s="24">
        <v>0.0010648148148148147</v>
      </c>
      <c r="L15" s="24">
        <v>0.20199074074074075</v>
      </c>
      <c r="M15" s="24">
        <v>0.0019328703703703704</v>
      </c>
      <c r="N15" s="24">
        <v>0.130625</v>
      </c>
      <c r="O15" s="18" t="s">
        <v>394</v>
      </c>
      <c r="P15" s="18"/>
      <c r="Q15" s="18" t="s">
        <v>190</v>
      </c>
    </row>
    <row r="16" spans="1:17" ht="12.75">
      <c r="A16">
        <f t="shared" si="0"/>
        <v>15</v>
      </c>
      <c r="B16" s="22">
        <v>37521</v>
      </c>
      <c r="C16" s="16" t="s">
        <v>188</v>
      </c>
      <c r="D16" s="18" t="s">
        <v>316</v>
      </c>
      <c r="E16" s="18" t="s">
        <v>469</v>
      </c>
      <c r="F16" s="23" t="s">
        <v>189</v>
      </c>
      <c r="G16" s="32" t="s">
        <v>408</v>
      </c>
      <c r="H16" s="18">
        <v>16</v>
      </c>
      <c r="I16" s="24">
        <v>0.2768981481481481</v>
      </c>
      <c r="J16" s="20">
        <v>0.03993055555555556</v>
      </c>
      <c r="K16" s="24">
        <v>0.0017013888888888892</v>
      </c>
      <c r="L16" s="24">
        <v>0.1471412037037037</v>
      </c>
      <c r="M16" s="24">
        <v>0.0014814814814814814</v>
      </c>
      <c r="N16" s="24">
        <v>0.08664351851851852</v>
      </c>
      <c r="O16" s="18" t="s">
        <v>190</v>
      </c>
      <c r="P16" s="18"/>
      <c r="Q16" s="18" t="s">
        <v>190</v>
      </c>
    </row>
    <row r="17" spans="1:17" ht="12.75">
      <c r="A17">
        <f t="shared" si="0"/>
        <v>16</v>
      </c>
      <c r="B17" s="22">
        <v>37752</v>
      </c>
      <c r="C17" s="16" t="s">
        <v>415</v>
      </c>
      <c r="D17" s="18" t="s">
        <v>266</v>
      </c>
      <c r="E17" s="18" t="s">
        <v>469</v>
      </c>
      <c r="F17" s="23" t="s">
        <v>189</v>
      </c>
      <c r="G17" s="32" t="s">
        <v>260</v>
      </c>
      <c r="H17" s="18">
        <v>25</v>
      </c>
      <c r="I17" s="24">
        <v>0.24898148148148147</v>
      </c>
      <c r="J17" s="20">
        <v>0.03451388888888889</v>
      </c>
      <c r="K17" s="24">
        <v>0.001423611111111111</v>
      </c>
      <c r="L17" s="24">
        <v>0.12493055555555554</v>
      </c>
      <c r="M17" s="24">
        <v>0.0007291666666666667</v>
      </c>
      <c r="N17" s="24">
        <v>0.08953703703703704</v>
      </c>
      <c r="O17" s="18" t="s">
        <v>190</v>
      </c>
      <c r="P17" s="18"/>
      <c r="Q17" s="18" t="s">
        <v>190</v>
      </c>
    </row>
    <row r="18" spans="1:17" ht="12.75">
      <c r="A18">
        <f t="shared" si="0"/>
        <v>17</v>
      </c>
      <c r="B18" s="22">
        <v>37836</v>
      </c>
      <c r="C18" s="16" t="s">
        <v>392</v>
      </c>
      <c r="D18" s="18" t="s">
        <v>393</v>
      </c>
      <c r="E18" s="18" t="s">
        <v>469</v>
      </c>
      <c r="F18" s="23" t="s">
        <v>189</v>
      </c>
      <c r="G18" s="32" t="s">
        <v>260</v>
      </c>
      <c r="H18" s="18">
        <v>2</v>
      </c>
      <c r="I18" s="24">
        <v>0.24208333333333334</v>
      </c>
      <c r="J18" s="20">
        <v>0.03649305555555555</v>
      </c>
      <c r="K18" s="24">
        <v>0.0010185185185185186</v>
      </c>
      <c r="L18" s="24">
        <v>0.12149305555555556</v>
      </c>
      <c r="M18" s="24">
        <v>0.0006712962962962962</v>
      </c>
      <c r="N18" s="24">
        <v>0.08243055555555556</v>
      </c>
      <c r="O18" s="18" t="s">
        <v>230</v>
      </c>
      <c r="P18" s="18"/>
      <c r="Q18" s="18" t="s">
        <v>230</v>
      </c>
    </row>
    <row r="19" spans="1:17" ht="12.75">
      <c r="A19">
        <f t="shared" si="0"/>
        <v>18</v>
      </c>
      <c r="B19" s="22">
        <v>38172</v>
      </c>
      <c r="C19" s="16" t="s">
        <v>354</v>
      </c>
      <c r="D19" s="18" t="s">
        <v>355</v>
      </c>
      <c r="E19" s="18" t="s">
        <v>469</v>
      </c>
      <c r="F19" s="23" t="s">
        <v>189</v>
      </c>
      <c r="G19" s="32" t="s">
        <v>260</v>
      </c>
      <c r="H19" s="18">
        <v>12</v>
      </c>
      <c r="I19" s="24">
        <v>0.251400462962963</v>
      </c>
      <c r="J19" s="20">
        <v>0.0409375</v>
      </c>
      <c r="K19" s="24">
        <v>0.0008217592592592592</v>
      </c>
      <c r="L19" s="24">
        <v>0.12552083333333333</v>
      </c>
      <c r="M19" s="24">
        <v>0.0008449074074074075</v>
      </c>
      <c r="N19" s="24">
        <v>0.08326388888888889</v>
      </c>
      <c r="O19" s="16" t="s">
        <v>190</v>
      </c>
      <c r="P19" s="18"/>
      <c r="Q19" s="18" t="s">
        <v>190</v>
      </c>
    </row>
    <row r="20" spans="1:18" ht="12.75">
      <c r="A20">
        <f t="shared" si="0"/>
        <v>19</v>
      </c>
      <c r="B20" s="22">
        <v>38466</v>
      </c>
      <c r="C20" s="16" t="s">
        <v>140</v>
      </c>
      <c r="D20" s="18" t="s">
        <v>521</v>
      </c>
      <c r="E20" s="18" t="s">
        <v>448</v>
      </c>
      <c r="F20" s="16" t="s">
        <v>141</v>
      </c>
      <c r="G20" s="16" t="s">
        <v>439</v>
      </c>
      <c r="H20" s="18">
        <v>24</v>
      </c>
      <c r="I20" s="24">
        <v>0.12127314814814816</v>
      </c>
      <c r="J20" s="20">
        <v>0.03851851851851852</v>
      </c>
      <c r="K20" s="18"/>
      <c r="L20" s="24">
        <v>0.06068287037037037</v>
      </c>
      <c r="M20" s="24">
        <v>0</v>
      </c>
      <c r="N20" s="20">
        <v>0.02207175925925926</v>
      </c>
      <c r="O20" s="16" t="s">
        <v>550</v>
      </c>
      <c r="P20" s="18"/>
      <c r="Q20" s="16" t="s">
        <v>230</v>
      </c>
      <c r="R20" t="s">
        <v>33</v>
      </c>
    </row>
    <row r="21" spans="1:17" ht="12.75">
      <c r="A21">
        <f t="shared" si="0"/>
        <v>20</v>
      </c>
      <c r="B21" s="22">
        <v>38571</v>
      </c>
      <c r="C21" s="16" t="s">
        <v>392</v>
      </c>
      <c r="D21" s="18" t="s">
        <v>393</v>
      </c>
      <c r="E21" s="18" t="s">
        <v>469</v>
      </c>
      <c r="F21" s="23" t="s">
        <v>189</v>
      </c>
      <c r="G21" s="32" t="s">
        <v>260</v>
      </c>
      <c r="H21" s="18">
        <v>22</v>
      </c>
      <c r="I21" s="24">
        <v>0.25328703703703703</v>
      </c>
      <c r="J21" s="20">
        <v>0.038078703703703705</v>
      </c>
      <c r="K21" s="18"/>
      <c r="L21" s="24">
        <v>0.12523148148148147</v>
      </c>
      <c r="M21" s="24">
        <v>0.0031597222222222374</v>
      </c>
      <c r="N21" s="24">
        <v>0.08681712962962963</v>
      </c>
      <c r="O21" s="18" t="s">
        <v>190</v>
      </c>
      <c r="P21" s="18" t="s">
        <v>397</v>
      </c>
      <c r="Q21" s="18" t="s">
        <v>190</v>
      </c>
    </row>
    <row r="22" spans="1:17" ht="12.75">
      <c r="A22">
        <f t="shared" si="0"/>
        <v>21</v>
      </c>
      <c r="B22" s="22">
        <v>38955</v>
      </c>
      <c r="C22" s="16" t="s">
        <v>201</v>
      </c>
      <c r="D22" s="18" t="s">
        <v>521</v>
      </c>
      <c r="E22" s="18" t="s">
        <v>469</v>
      </c>
      <c r="F22" s="23" t="s">
        <v>189</v>
      </c>
      <c r="G22" s="16" t="s">
        <v>260</v>
      </c>
      <c r="H22" s="18">
        <v>26</v>
      </c>
      <c r="I22" s="24">
        <v>0.2526157407407407</v>
      </c>
      <c r="J22" s="20">
        <v>0.03543981481481481</v>
      </c>
      <c r="K22" s="18"/>
      <c r="L22" s="24">
        <v>0.126875</v>
      </c>
      <c r="M22" s="24">
        <v>0.0017592592592592592</v>
      </c>
      <c r="N22" s="24">
        <v>0.08856481481481482</v>
      </c>
      <c r="O22" s="18" t="s">
        <v>230</v>
      </c>
      <c r="P22" s="18"/>
      <c r="Q22" s="18" t="s">
        <v>230</v>
      </c>
    </row>
  </sheetData>
  <conditionalFormatting sqref="H2:H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3" operator="equal" stopIfTrue="1">
      <formula>3</formula>
    </cfRule>
  </conditionalFormatting>
  <conditionalFormatting sqref="H1 K9:K10">
    <cfRule type="cellIs" priority="4" dxfId="0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7" sqref="H27"/>
    </sheetView>
  </sheetViews>
  <sheetFormatPr defaultColWidth="9.140625" defaultRowHeight="12.75"/>
  <cols>
    <col min="2" max="2" width="10.140625" style="10" bestFit="1" customWidth="1"/>
    <col min="7" max="7" width="12.140625" style="3" bestFit="1" customWidth="1"/>
    <col min="9" max="9" width="9.140625" style="4" customWidth="1"/>
  </cols>
  <sheetData>
    <row r="1" spans="1:17" ht="12.75">
      <c r="A1" s="25" t="s">
        <v>4</v>
      </c>
      <c r="B1" s="14" t="s">
        <v>10</v>
      </c>
      <c r="C1" s="1" t="s">
        <v>11</v>
      </c>
      <c r="D1" s="1" t="s">
        <v>147</v>
      </c>
      <c r="E1" s="1" t="s">
        <v>468</v>
      </c>
      <c r="F1" s="2" t="s">
        <v>0</v>
      </c>
      <c r="G1" s="2" t="s">
        <v>14</v>
      </c>
      <c r="H1" s="1" t="s">
        <v>15</v>
      </c>
      <c r="I1" s="11" t="s">
        <v>9</v>
      </c>
      <c r="J1" s="1" t="s">
        <v>5</v>
      </c>
      <c r="K1" s="1" t="s">
        <v>6</v>
      </c>
      <c r="L1" s="1" t="s">
        <v>7</v>
      </c>
      <c r="M1" s="1" t="s">
        <v>6</v>
      </c>
      <c r="N1" s="1" t="s">
        <v>8</v>
      </c>
      <c r="O1" s="1" t="s">
        <v>12</v>
      </c>
      <c r="P1" s="1" t="s">
        <v>20</v>
      </c>
      <c r="Q1" s="1" t="s">
        <v>319</v>
      </c>
    </row>
    <row r="2" spans="1:15" ht="12.75">
      <c r="A2" s="25"/>
      <c r="B2" s="14"/>
      <c r="C2" s="1"/>
      <c r="D2" s="1"/>
      <c r="E2" s="1"/>
      <c r="F2" s="2"/>
      <c r="G2" s="2" t="s">
        <v>17</v>
      </c>
      <c r="H2" s="34"/>
      <c r="I2" s="11"/>
      <c r="J2" s="1" t="s">
        <v>1</v>
      </c>
      <c r="K2" s="1" t="s">
        <v>2</v>
      </c>
      <c r="L2" s="1" t="s">
        <v>3</v>
      </c>
      <c r="M2" s="1"/>
      <c r="N2" s="1"/>
      <c r="O2" s="1"/>
    </row>
    <row r="3" spans="1:12" ht="12.75">
      <c r="A3">
        <f aca="true" t="shared" si="0" ref="A3:A11">IF(B3=0,"",ROW(A1))</f>
        <v>1</v>
      </c>
      <c r="B3" s="10">
        <v>36294</v>
      </c>
      <c r="C3" t="s">
        <v>347</v>
      </c>
      <c r="D3" t="s">
        <v>148</v>
      </c>
      <c r="E3" t="s">
        <v>471</v>
      </c>
      <c r="F3" t="s">
        <v>348</v>
      </c>
      <c r="G3" s="3" t="s">
        <v>487</v>
      </c>
      <c r="H3" s="18">
        <v>35</v>
      </c>
      <c r="I3" s="4">
        <v>0.032870370370370376</v>
      </c>
      <c r="J3" s="5">
        <v>0.014166666666666666</v>
      </c>
      <c r="L3" s="5">
        <v>0.018229166666666668</v>
      </c>
    </row>
    <row r="4" spans="1:9" ht="12.75">
      <c r="A4">
        <f t="shared" si="0"/>
        <v>2</v>
      </c>
      <c r="B4" s="10">
        <v>36534</v>
      </c>
      <c r="C4" t="s">
        <v>25</v>
      </c>
      <c r="E4" t="s">
        <v>471</v>
      </c>
      <c r="F4" t="s">
        <v>348</v>
      </c>
      <c r="G4" s="3" t="s">
        <v>370</v>
      </c>
      <c r="H4" s="18">
        <v>1</v>
      </c>
      <c r="I4" s="4">
        <v>0.01888888888888889</v>
      </c>
    </row>
    <row r="5" spans="1:15" ht="12.75">
      <c r="A5">
        <f t="shared" si="0"/>
        <v>3</v>
      </c>
      <c r="B5" s="10">
        <v>36597</v>
      </c>
      <c r="C5" t="s">
        <v>25</v>
      </c>
      <c r="E5" t="s">
        <v>471</v>
      </c>
      <c r="F5" t="s">
        <v>348</v>
      </c>
      <c r="G5" s="3" t="s">
        <v>372</v>
      </c>
      <c r="H5" s="18">
        <v>1</v>
      </c>
      <c r="I5" s="4">
        <v>0.03326388888888889</v>
      </c>
      <c r="J5" s="5">
        <v>0.008680555555555556</v>
      </c>
      <c r="L5" s="9">
        <v>0.023796296296296298</v>
      </c>
      <c r="O5" t="s">
        <v>494</v>
      </c>
    </row>
    <row r="6" spans="1:19" ht="12.75">
      <c r="A6">
        <f t="shared" si="0"/>
        <v>4</v>
      </c>
      <c r="B6" s="10">
        <v>36625</v>
      </c>
      <c r="C6" t="s">
        <v>25</v>
      </c>
      <c r="E6" t="s">
        <v>471</v>
      </c>
      <c r="F6" t="s">
        <v>348</v>
      </c>
      <c r="G6" s="3" t="s">
        <v>371</v>
      </c>
      <c r="H6" s="18">
        <v>1</v>
      </c>
      <c r="I6" s="4">
        <v>0.017013888888888887</v>
      </c>
      <c r="J6" s="5">
        <v>0.004293981481481481</v>
      </c>
      <c r="L6" s="5">
        <v>0.012708333333333334</v>
      </c>
      <c r="O6" t="s">
        <v>495</v>
      </c>
      <c r="S6" t="s">
        <v>485</v>
      </c>
    </row>
    <row r="7" spans="1:15" ht="12.75">
      <c r="A7">
        <f t="shared" si="0"/>
        <v>5</v>
      </c>
      <c r="B7" s="10">
        <v>37248</v>
      </c>
      <c r="C7" t="s">
        <v>25</v>
      </c>
      <c r="E7" t="s">
        <v>471</v>
      </c>
      <c r="F7" t="s">
        <v>348</v>
      </c>
      <c r="G7" s="3" t="s">
        <v>507</v>
      </c>
      <c r="H7" s="18"/>
      <c r="I7" s="4">
        <f>J7+L7</f>
        <v>0.022800925925925926</v>
      </c>
      <c r="J7" s="5">
        <v>0.004791666666666667</v>
      </c>
      <c r="L7" s="5">
        <v>0.01800925925925926</v>
      </c>
      <c r="O7" t="s">
        <v>495</v>
      </c>
    </row>
    <row r="8" spans="1:15" ht="12.75">
      <c r="A8">
        <f t="shared" si="0"/>
        <v>6</v>
      </c>
      <c r="B8" s="10">
        <v>37304</v>
      </c>
      <c r="C8" t="s">
        <v>25</v>
      </c>
      <c r="E8" t="s">
        <v>471</v>
      </c>
      <c r="F8" t="s">
        <v>348</v>
      </c>
      <c r="G8" s="3" t="s">
        <v>372</v>
      </c>
      <c r="H8" s="18">
        <v>1</v>
      </c>
      <c r="I8" s="4">
        <v>0.03349537037037037</v>
      </c>
      <c r="J8" s="5">
        <v>0.008819444444444444</v>
      </c>
      <c r="L8" s="5">
        <v>0.024710648148148148</v>
      </c>
      <c r="O8" t="s">
        <v>509</v>
      </c>
    </row>
    <row r="9" spans="1:12" ht="12.75">
      <c r="A9">
        <f t="shared" si="0"/>
        <v>7</v>
      </c>
      <c r="B9" s="10">
        <v>38802</v>
      </c>
      <c r="C9" t="s">
        <v>25</v>
      </c>
      <c r="E9" t="s">
        <v>471</v>
      </c>
      <c r="F9" t="s">
        <v>348</v>
      </c>
      <c r="G9" s="3" t="s">
        <v>372</v>
      </c>
      <c r="H9" s="18"/>
      <c r="I9" s="4">
        <v>0.045196759259259256</v>
      </c>
      <c r="J9" s="5">
        <v>0.00951388888888889</v>
      </c>
      <c r="L9" s="5">
        <v>0.03568287037037037</v>
      </c>
    </row>
    <row r="10" spans="1:12" ht="12.75">
      <c r="A10">
        <f t="shared" si="0"/>
        <v>8</v>
      </c>
      <c r="B10" s="10">
        <v>38815</v>
      </c>
      <c r="C10" t="s">
        <v>185</v>
      </c>
      <c r="D10" t="s">
        <v>148</v>
      </c>
      <c r="E10" t="s">
        <v>471</v>
      </c>
      <c r="F10" t="s">
        <v>348</v>
      </c>
      <c r="G10" s="3" t="s">
        <v>481</v>
      </c>
      <c r="H10" s="18"/>
      <c r="I10" s="4">
        <v>0.034375</v>
      </c>
      <c r="J10" s="5">
        <v>0.009016203703703703</v>
      </c>
      <c r="L10" s="5">
        <v>0.02534722222222222</v>
      </c>
    </row>
    <row r="11" spans="1:12" ht="12.75">
      <c r="A11">
        <f t="shared" si="0"/>
        <v>9</v>
      </c>
      <c r="B11" s="10">
        <v>39040</v>
      </c>
      <c r="C11" t="s">
        <v>25</v>
      </c>
      <c r="E11" t="s">
        <v>471</v>
      </c>
      <c r="F11" t="s">
        <v>348</v>
      </c>
      <c r="G11" s="3" t="s">
        <v>456</v>
      </c>
      <c r="H11" s="18">
        <v>4</v>
      </c>
      <c r="I11" s="4">
        <v>0.020810185185185185</v>
      </c>
      <c r="J11" s="5">
        <v>0.005555555555555556</v>
      </c>
      <c r="L11" s="5">
        <v>0.01525462962962963</v>
      </c>
    </row>
    <row r="12" spans="1:9" ht="12.75">
      <c r="A12">
        <f aca="true" t="shared" si="1" ref="A12:A32">IF(B12=0,"",ROW(A10))</f>
        <v>10</v>
      </c>
      <c r="B12" s="10">
        <v>40237</v>
      </c>
      <c r="C12" t="s">
        <v>25</v>
      </c>
      <c r="E12" t="s">
        <v>471</v>
      </c>
      <c r="F12" t="s">
        <v>348</v>
      </c>
      <c r="G12" s="3" t="s">
        <v>372</v>
      </c>
      <c r="H12" s="18">
        <v>2</v>
      </c>
      <c r="I12" s="4">
        <v>0.03417824074074074</v>
      </c>
    </row>
    <row r="13" spans="1:9" ht="12.75">
      <c r="A13">
        <f t="shared" si="1"/>
        <v>11</v>
      </c>
      <c r="B13" s="10">
        <v>40407</v>
      </c>
      <c r="C13" t="s">
        <v>25</v>
      </c>
      <c r="E13" t="s">
        <v>471</v>
      </c>
      <c r="F13" t="s">
        <v>348</v>
      </c>
      <c r="G13" s="3" t="s">
        <v>615</v>
      </c>
      <c r="H13" s="16">
        <v>4</v>
      </c>
      <c r="I13" s="4">
        <v>0.014976851851851852</v>
      </c>
    </row>
    <row r="14" spans="1:8" ht="12.75">
      <c r="A14">
        <f t="shared" si="1"/>
      </c>
      <c r="H14" s="18"/>
    </row>
    <row r="15" spans="1:8" ht="12.75">
      <c r="A15">
        <f t="shared" si="1"/>
      </c>
      <c r="H15" s="18"/>
    </row>
    <row r="16" spans="1:8" ht="12.75">
      <c r="A16">
        <f t="shared" si="1"/>
      </c>
      <c r="H16" s="18"/>
    </row>
    <row r="17" spans="1:8" ht="12.75">
      <c r="A17">
        <f t="shared" si="1"/>
      </c>
      <c r="H17" s="18"/>
    </row>
    <row r="18" spans="1:8" ht="12.75">
      <c r="A18">
        <f t="shared" si="1"/>
      </c>
      <c r="H18" s="18"/>
    </row>
    <row r="19" spans="1:8" ht="12.75">
      <c r="A19">
        <f t="shared" si="1"/>
      </c>
      <c r="H19" s="18"/>
    </row>
    <row r="20" spans="1:8" ht="12.75">
      <c r="A20">
        <f t="shared" si="1"/>
      </c>
      <c r="H20" s="18"/>
    </row>
    <row r="21" spans="1:8" ht="12.75">
      <c r="A21">
        <f t="shared" si="1"/>
      </c>
      <c r="H21" s="18"/>
    </row>
    <row r="22" spans="1:8" ht="12.75">
      <c r="A22">
        <f t="shared" si="1"/>
      </c>
      <c r="H22" s="18"/>
    </row>
    <row r="23" ht="12.75">
      <c r="A23">
        <f t="shared" si="1"/>
      </c>
    </row>
    <row r="24" spans="1:8" ht="12.75">
      <c r="A24">
        <f t="shared" si="1"/>
      </c>
      <c r="G24" t="s">
        <v>457</v>
      </c>
      <c r="H24" s="6">
        <f>COUNTIF(H1:H12,"1")</f>
        <v>4</v>
      </c>
    </row>
    <row r="25" spans="1:8" ht="12.75">
      <c r="A25">
        <f t="shared" si="1"/>
      </c>
      <c r="G25" t="s">
        <v>458</v>
      </c>
      <c r="H25" s="7">
        <f>COUNTIF(H1:H23,"2")</f>
        <v>1</v>
      </c>
    </row>
    <row r="26" spans="1:8" ht="12.75">
      <c r="A26">
        <f t="shared" si="1"/>
      </c>
      <c r="G26" t="s">
        <v>459</v>
      </c>
      <c r="H26" s="8">
        <f>COUNTIF(H1:H12,"3")</f>
        <v>0</v>
      </c>
    </row>
    <row r="27" spans="1:8" ht="12.75">
      <c r="A27">
        <f t="shared" si="1"/>
      </c>
      <c r="G27" t="s">
        <v>223</v>
      </c>
      <c r="H27" s="33">
        <f>SUM(H24:H26)</f>
        <v>5</v>
      </c>
    </row>
    <row r="28" ht="12.75">
      <c r="A28">
        <f t="shared" si="1"/>
      </c>
    </row>
    <row r="29" ht="12.75">
      <c r="A29">
        <f t="shared" si="1"/>
      </c>
    </row>
    <row r="30" ht="12.75">
      <c r="A30">
        <f t="shared" si="1"/>
      </c>
    </row>
    <row r="31" ht="12.75">
      <c r="A31">
        <f t="shared" si="1"/>
      </c>
    </row>
    <row r="32" ht="12.75">
      <c r="A32">
        <f t="shared" si="1"/>
      </c>
    </row>
  </sheetData>
  <conditionalFormatting sqref="H27 H1:H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5"/>
  <sheetViews>
    <sheetView zoomScale="75" zoomScaleNormal="75" workbookViewId="0" topLeftCell="A1">
      <pane xSplit="1" ySplit="1" topLeftCell="B5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87" sqref="M87"/>
    </sheetView>
  </sheetViews>
  <sheetFormatPr defaultColWidth="9.140625" defaultRowHeight="12.75"/>
  <cols>
    <col min="1" max="1" width="4.00390625" style="26" bestFit="1" customWidth="1"/>
    <col min="2" max="2" width="10.140625" style="10" bestFit="1" customWidth="1"/>
    <col min="3" max="3" width="10.28125" style="0" bestFit="1" customWidth="1"/>
    <col min="4" max="4" width="6.28125" style="0" bestFit="1" customWidth="1"/>
    <col min="5" max="5" width="7.00390625" style="0" bestFit="1" customWidth="1"/>
    <col min="6" max="6" width="10.421875" style="0" bestFit="1" customWidth="1"/>
    <col min="7" max="7" width="11.421875" style="77" bestFit="1" customWidth="1"/>
    <col min="8" max="8" width="10.00390625" style="0" bestFit="1" customWidth="1"/>
    <col min="9" max="9" width="14.00390625" style="81" bestFit="1" customWidth="1"/>
    <col min="10" max="10" width="7.57421875" style="0" bestFit="1" customWidth="1"/>
    <col min="11" max="11" width="8.7109375" style="0" bestFit="1" customWidth="1"/>
    <col min="12" max="12" width="13.28125" style="0" bestFit="1" customWidth="1"/>
    <col min="13" max="13" width="13.8515625" style="0" bestFit="1" customWidth="1"/>
    <col min="14" max="14" width="11.7109375" style="0" bestFit="1" customWidth="1"/>
  </cols>
  <sheetData>
    <row r="1" spans="1:14" ht="12.75">
      <c r="A1" s="25" t="s">
        <v>4</v>
      </c>
      <c r="B1" s="14" t="s">
        <v>10</v>
      </c>
      <c r="C1" s="1" t="s">
        <v>11</v>
      </c>
      <c r="D1" s="1" t="s">
        <v>147</v>
      </c>
      <c r="E1" s="1" t="s">
        <v>468</v>
      </c>
      <c r="F1" s="2" t="s">
        <v>0</v>
      </c>
      <c r="G1" s="76" t="s">
        <v>569</v>
      </c>
      <c r="H1" s="1" t="s">
        <v>15</v>
      </c>
      <c r="I1" s="80" t="s">
        <v>9</v>
      </c>
      <c r="J1" s="12" t="s">
        <v>570</v>
      </c>
      <c r="K1" s="12" t="s">
        <v>558</v>
      </c>
      <c r="L1" s="1" t="s">
        <v>12</v>
      </c>
      <c r="M1" s="1" t="s">
        <v>20</v>
      </c>
      <c r="N1" s="1" t="s">
        <v>187</v>
      </c>
    </row>
    <row r="2" spans="1:12" ht="12.75">
      <c r="A2" s="26">
        <f aca="true" t="shared" si="0" ref="A2:A16">IF(B2=0,"",ROW(A1))</f>
        <v>1</v>
      </c>
      <c r="B2" s="10">
        <v>31929</v>
      </c>
      <c r="C2" t="s">
        <v>65</v>
      </c>
      <c r="D2" t="s">
        <v>521</v>
      </c>
      <c r="E2" t="s">
        <v>531</v>
      </c>
      <c r="F2" t="s">
        <v>557</v>
      </c>
      <c r="G2" s="77">
        <v>100</v>
      </c>
      <c r="H2" s="1"/>
      <c r="I2" s="81">
        <v>0.0011400462962962963</v>
      </c>
      <c r="J2" s="21">
        <f aca="true" t="shared" si="1" ref="J2:J33">(G2)/((I2-INT(I2))*24)/1000</f>
        <v>3.65482233502538</v>
      </c>
      <c r="K2" s="21" t="s">
        <v>561</v>
      </c>
      <c r="L2" t="s">
        <v>559</v>
      </c>
    </row>
    <row r="3" spans="1:12" ht="12.75">
      <c r="A3" s="26">
        <f t="shared" si="0"/>
        <v>2</v>
      </c>
      <c r="B3" s="10">
        <v>31929</v>
      </c>
      <c r="C3" t="s">
        <v>65</v>
      </c>
      <c r="D3" t="s">
        <v>521</v>
      </c>
      <c r="E3" t="s">
        <v>531</v>
      </c>
      <c r="F3" t="s">
        <v>557</v>
      </c>
      <c r="G3" s="77">
        <v>100</v>
      </c>
      <c r="H3" s="1"/>
      <c r="I3" s="81">
        <v>0.0011192129629629631</v>
      </c>
      <c r="J3" s="21">
        <f t="shared" si="1"/>
        <v>3.722854188210962</v>
      </c>
      <c r="K3" s="13" t="s">
        <v>562</v>
      </c>
      <c r="L3" t="s">
        <v>559</v>
      </c>
    </row>
    <row r="4" spans="1:12" ht="12.75">
      <c r="A4" s="26">
        <f t="shared" si="0"/>
        <v>3</v>
      </c>
      <c r="B4" s="10">
        <v>31929</v>
      </c>
      <c r="C4" t="s">
        <v>65</v>
      </c>
      <c r="D4" t="s">
        <v>521</v>
      </c>
      <c r="E4" t="s">
        <v>531</v>
      </c>
      <c r="F4" t="s">
        <v>557</v>
      </c>
      <c r="G4" s="77">
        <v>50</v>
      </c>
      <c r="H4" s="1"/>
      <c r="I4" s="81">
        <v>0.0005150462962962963</v>
      </c>
      <c r="J4" s="21">
        <f t="shared" si="1"/>
        <v>4.044943820224719</v>
      </c>
      <c r="K4" s="13" t="s">
        <v>563</v>
      </c>
      <c r="L4" t="s">
        <v>559</v>
      </c>
    </row>
    <row r="5" spans="1:12" ht="12.75">
      <c r="A5" s="26">
        <f t="shared" si="0"/>
        <v>4</v>
      </c>
      <c r="B5" s="10">
        <v>31929</v>
      </c>
      <c r="C5" t="s">
        <v>65</v>
      </c>
      <c r="D5" t="s">
        <v>521</v>
      </c>
      <c r="E5" t="s">
        <v>531</v>
      </c>
      <c r="F5" t="s">
        <v>557</v>
      </c>
      <c r="G5" s="77">
        <v>100</v>
      </c>
      <c r="H5" s="1"/>
      <c r="I5" s="81">
        <v>0.0008784722222222223</v>
      </c>
      <c r="J5" s="21">
        <f t="shared" si="1"/>
        <v>4.743083003952569</v>
      </c>
      <c r="K5" s="13" t="s">
        <v>564</v>
      </c>
      <c r="L5" t="s">
        <v>559</v>
      </c>
    </row>
    <row r="6" spans="1:11" ht="12.75">
      <c r="A6" s="26">
        <f t="shared" si="0"/>
        <v>5</v>
      </c>
      <c r="B6" s="10">
        <v>32004</v>
      </c>
      <c r="C6" t="s">
        <v>65</v>
      </c>
      <c r="D6" t="s">
        <v>521</v>
      </c>
      <c r="E6" t="s">
        <v>531</v>
      </c>
      <c r="F6">
        <v>25</v>
      </c>
      <c r="G6" s="77">
        <v>25</v>
      </c>
      <c r="H6" s="1"/>
      <c r="I6" s="81">
        <v>0.00017824074074074075</v>
      </c>
      <c r="J6" s="21">
        <f t="shared" si="1"/>
        <v>5.844155844155844</v>
      </c>
      <c r="K6" s="13" t="s">
        <v>564</v>
      </c>
    </row>
    <row r="7" spans="1:11" ht="12.75">
      <c r="A7" s="26">
        <f t="shared" si="0"/>
        <v>6</v>
      </c>
      <c r="B7" s="10">
        <v>32004</v>
      </c>
      <c r="C7" t="s">
        <v>65</v>
      </c>
      <c r="D7" t="s">
        <v>521</v>
      </c>
      <c r="E7" t="s">
        <v>531</v>
      </c>
      <c r="F7">
        <v>25</v>
      </c>
      <c r="G7" s="77">
        <v>25</v>
      </c>
      <c r="H7" s="1"/>
      <c r="I7" s="81">
        <v>0.0002349537037037037</v>
      </c>
      <c r="J7" s="21">
        <f t="shared" si="1"/>
        <v>4.433497536945813</v>
      </c>
      <c r="K7" s="13" t="s">
        <v>561</v>
      </c>
    </row>
    <row r="8" spans="1:11" ht="12.75">
      <c r="A8" s="26">
        <f t="shared" si="0"/>
        <v>7</v>
      </c>
      <c r="B8" s="10">
        <v>32286</v>
      </c>
      <c r="C8" t="s">
        <v>65</v>
      </c>
      <c r="E8" t="s">
        <v>531</v>
      </c>
      <c r="F8">
        <v>25</v>
      </c>
      <c r="G8" s="77">
        <v>25</v>
      </c>
      <c r="H8" s="1"/>
      <c r="I8" s="81">
        <v>0.00019560185185185183</v>
      </c>
      <c r="J8" s="21">
        <f t="shared" si="1"/>
        <v>5.32544378698225</v>
      </c>
      <c r="K8" s="13" t="s">
        <v>562</v>
      </c>
    </row>
    <row r="9" spans="1:12" ht="12.75">
      <c r="A9" s="26">
        <f t="shared" si="0"/>
        <v>8</v>
      </c>
      <c r="B9" s="10">
        <v>32295</v>
      </c>
      <c r="C9" t="s">
        <v>65</v>
      </c>
      <c r="D9" t="s">
        <v>521</v>
      </c>
      <c r="E9" t="s">
        <v>531</v>
      </c>
      <c r="F9" t="s">
        <v>557</v>
      </c>
      <c r="G9" s="77">
        <v>100</v>
      </c>
      <c r="H9" s="1"/>
      <c r="I9" s="81">
        <v>0.0011412037037037037</v>
      </c>
      <c r="J9" s="21">
        <f t="shared" si="1"/>
        <v>3.6511156186612577</v>
      </c>
      <c r="K9" s="21" t="s">
        <v>561</v>
      </c>
      <c r="L9" t="s">
        <v>559</v>
      </c>
    </row>
    <row r="10" spans="1:12" ht="12.75">
      <c r="A10" s="26">
        <f t="shared" si="0"/>
        <v>9</v>
      </c>
      <c r="B10" s="10">
        <v>32295</v>
      </c>
      <c r="C10" t="s">
        <v>65</v>
      </c>
      <c r="D10" t="s">
        <v>521</v>
      </c>
      <c r="E10" t="s">
        <v>531</v>
      </c>
      <c r="F10" t="s">
        <v>557</v>
      </c>
      <c r="G10" s="77">
        <v>100</v>
      </c>
      <c r="H10" s="1"/>
      <c r="I10" s="81">
        <v>0.0010127314814814814</v>
      </c>
      <c r="J10" s="21">
        <f t="shared" si="1"/>
        <v>4.114285714285715</v>
      </c>
      <c r="K10" s="13" t="s">
        <v>562</v>
      </c>
      <c r="L10" t="s">
        <v>559</v>
      </c>
    </row>
    <row r="11" spans="1:12" ht="12.75">
      <c r="A11" s="26">
        <f t="shared" si="0"/>
        <v>10</v>
      </c>
      <c r="B11" s="10">
        <v>32295</v>
      </c>
      <c r="C11" t="s">
        <v>65</v>
      </c>
      <c r="D11" t="s">
        <v>521</v>
      </c>
      <c r="E11" t="s">
        <v>531</v>
      </c>
      <c r="F11" t="s">
        <v>557</v>
      </c>
      <c r="G11" s="77">
        <v>50</v>
      </c>
      <c r="H11" s="1"/>
      <c r="I11" s="81">
        <v>0.00047916666666666664</v>
      </c>
      <c r="J11" s="21">
        <f t="shared" si="1"/>
        <v>4.347826086956522</v>
      </c>
      <c r="K11" s="13" t="s">
        <v>563</v>
      </c>
      <c r="L11" t="s">
        <v>559</v>
      </c>
    </row>
    <row r="12" spans="1:12" ht="12.75">
      <c r="A12" s="26">
        <f t="shared" si="0"/>
        <v>11</v>
      </c>
      <c r="B12" s="10">
        <v>32295</v>
      </c>
      <c r="C12" t="s">
        <v>65</v>
      </c>
      <c r="D12" t="s">
        <v>521</v>
      </c>
      <c r="E12" t="s">
        <v>531</v>
      </c>
      <c r="F12" t="s">
        <v>557</v>
      </c>
      <c r="G12" s="77">
        <v>100</v>
      </c>
      <c r="H12" s="1"/>
      <c r="I12" s="81">
        <v>0.0008576388888888888</v>
      </c>
      <c r="J12" s="21">
        <f t="shared" si="1"/>
        <v>4.858299595141701</v>
      </c>
      <c r="K12" s="13" t="s">
        <v>564</v>
      </c>
      <c r="L12" t="s">
        <v>559</v>
      </c>
    </row>
    <row r="13" spans="1:11" ht="12.75">
      <c r="A13" s="26">
        <f t="shared" si="0"/>
        <v>12</v>
      </c>
      <c r="B13" s="10">
        <v>32410</v>
      </c>
      <c r="C13" t="s">
        <v>567</v>
      </c>
      <c r="E13" t="s">
        <v>531</v>
      </c>
      <c r="F13">
        <v>25</v>
      </c>
      <c r="G13" s="77">
        <v>100</v>
      </c>
      <c r="H13" s="1"/>
      <c r="I13" s="81">
        <v>0.001150462962962963</v>
      </c>
      <c r="J13" s="21">
        <f t="shared" si="1"/>
        <v>3.6217303822937623</v>
      </c>
      <c r="K13" s="13" t="s">
        <v>563</v>
      </c>
    </row>
    <row r="14" spans="1:11" ht="12.75">
      <c r="A14" s="26">
        <f t="shared" si="0"/>
        <v>13</v>
      </c>
      <c r="B14" s="10">
        <v>32459</v>
      </c>
      <c r="C14" t="s">
        <v>567</v>
      </c>
      <c r="E14" t="s">
        <v>531</v>
      </c>
      <c r="F14">
        <v>25</v>
      </c>
      <c r="G14" s="77">
        <v>50</v>
      </c>
      <c r="H14" s="1"/>
      <c r="I14" s="81">
        <v>0.0004375</v>
      </c>
      <c r="J14" s="21">
        <f t="shared" si="1"/>
        <v>4.761904761904762</v>
      </c>
      <c r="K14" s="13" t="s">
        <v>562</v>
      </c>
    </row>
    <row r="15" spans="1:11" ht="12.75">
      <c r="A15" s="26">
        <f t="shared" si="0"/>
        <v>14</v>
      </c>
      <c r="B15" s="10">
        <v>32515</v>
      </c>
      <c r="C15" t="s">
        <v>567</v>
      </c>
      <c r="E15" t="s">
        <v>531</v>
      </c>
      <c r="F15">
        <v>25</v>
      </c>
      <c r="G15" s="77">
        <v>100</v>
      </c>
      <c r="I15" s="81">
        <v>0.0009537037037037037</v>
      </c>
      <c r="J15" s="75">
        <f t="shared" si="1"/>
        <v>4.368932038834951</v>
      </c>
      <c r="K15" s="75" t="s">
        <v>573</v>
      </c>
    </row>
    <row r="16" spans="1:12" ht="12.75">
      <c r="A16" s="26">
        <f t="shared" si="0"/>
        <v>15</v>
      </c>
      <c r="B16" s="10">
        <v>33041</v>
      </c>
      <c r="C16" t="s">
        <v>65</v>
      </c>
      <c r="E16" t="s">
        <v>531</v>
      </c>
      <c r="F16">
        <v>25</v>
      </c>
      <c r="G16" s="77">
        <v>100</v>
      </c>
      <c r="H16" s="1"/>
      <c r="I16" s="81">
        <v>0.0009606481481481481</v>
      </c>
      <c r="J16" s="21">
        <f t="shared" si="1"/>
        <v>4.337349397590361</v>
      </c>
      <c r="K16" s="13" t="s">
        <v>562</v>
      </c>
      <c r="L16" t="s">
        <v>568</v>
      </c>
    </row>
    <row r="17" spans="1:12" ht="12.75">
      <c r="A17" s="26">
        <f aca="true" t="shared" si="2" ref="A17:A80">IF(B17=0,"",ROW(A16))</f>
        <v>16</v>
      </c>
      <c r="B17" s="10">
        <v>33068</v>
      </c>
      <c r="C17" t="s">
        <v>65</v>
      </c>
      <c r="E17" t="s">
        <v>531</v>
      </c>
      <c r="G17" s="77">
        <v>400</v>
      </c>
      <c r="I17" s="81">
        <v>0.003944444444444444</v>
      </c>
      <c r="J17" s="75">
        <f t="shared" si="1"/>
        <v>4.225352112676057</v>
      </c>
      <c r="K17" s="75" t="s">
        <v>564</v>
      </c>
      <c r="L17" t="s">
        <v>568</v>
      </c>
    </row>
    <row r="18" spans="1:12" ht="12.75">
      <c r="A18" s="26">
        <f t="shared" si="2"/>
        <v>17</v>
      </c>
      <c r="B18" s="10">
        <v>33073</v>
      </c>
      <c r="C18" t="s">
        <v>65</v>
      </c>
      <c r="E18" t="s">
        <v>531</v>
      </c>
      <c r="G18" s="77">
        <v>800</v>
      </c>
      <c r="I18" s="81">
        <v>0.008362268518518517</v>
      </c>
      <c r="J18" s="75">
        <f t="shared" si="1"/>
        <v>3.9861591695501737</v>
      </c>
      <c r="K18" s="75" t="s">
        <v>564</v>
      </c>
      <c r="L18" t="s">
        <v>572</v>
      </c>
    </row>
    <row r="19" spans="1:12" ht="12.75">
      <c r="A19" s="26">
        <f t="shared" si="2"/>
        <v>18</v>
      </c>
      <c r="B19" s="10">
        <v>33073</v>
      </c>
      <c r="C19" t="s">
        <v>65</v>
      </c>
      <c r="E19" t="s">
        <v>531</v>
      </c>
      <c r="G19" s="77">
        <v>1500</v>
      </c>
      <c r="I19" s="81">
        <v>0.015598379629629629</v>
      </c>
      <c r="J19" s="75">
        <f t="shared" si="1"/>
        <v>4.0068264450545374</v>
      </c>
      <c r="K19" s="75" t="s">
        <v>564</v>
      </c>
      <c r="L19" t="s">
        <v>572</v>
      </c>
    </row>
    <row r="20" spans="1:11" ht="12.75">
      <c r="A20" s="26">
        <f t="shared" si="2"/>
        <v>19</v>
      </c>
      <c r="B20" s="10">
        <v>33162</v>
      </c>
      <c r="C20" t="s">
        <v>571</v>
      </c>
      <c r="E20" t="s">
        <v>531</v>
      </c>
      <c r="G20" s="77">
        <v>1000</v>
      </c>
      <c r="I20" s="81">
        <v>0.010069444444444445</v>
      </c>
      <c r="J20" s="75">
        <f t="shared" si="1"/>
        <v>4.137931034482758</v>
      </c>
      <c r="K20" s="75" t="s">
        <v>564</v>
      </c>
    </row>
    <row r="21" spans="1:11" ht="12.75">
      <c r="A21" s="26">
        <f t="shared" si="2"/>
        <v>20</v>
      </c>
      <c r="B21" s="10">
        <v>33183</v>
      </c>
      <c r="C21" t="s">
        <v>571</v>
      </c>
      <c r="E21" t="s">
        <v>531</v>
      </c>
      <c r="G21" s="77">
        <v>1000</v>
      </c>
      <c r="I21" s="81">
        <v>0.01</v>
      </c>
      <c r="J21" s="75">
        <f t="shared" si="1"/>
        <v>4.166666666666667</v>
      </c>
      <c r="K21" s="75" t="s">
        <v>564</v>
      </c>
    </row>
    <row r="22" spans="1:11" ht="12.75">
      <c r="A22" s="26">
        <f t="shared" si="2"/>
        <v>21</v>
      </c>
      <c r="B22" s="10">
        <v>33219</v>
      </c>
      <c r="C22" t="s">
        <v>571</v>
      </c>
      <c r="E22" t="s">
        <v>531</v>
      </c>
      <c r="G22" s="77">
        <v>1000</v>
      </c>
      <c r="I22" s="81">
        <v>0.009872685185185186</v>
      </c>
      <c r="J22" s="75">
        <f t="shared" si="1"/>
        <v>4.220398593200469</v>
      </c>
      <c r="K22" s="75" t="s">
        <v>564</v>
      </c>
    </row>
    <row r="23" spans="1:11" ht="12.75">
      <c r="A23" s="26">
        <f t="shared" si="2"/>
        <v>22</v>
      </c>
      <c r="B23" s="10">
        <v>33225</v>
      </c>
      <c r="C23" t="s">
        <v>571</v>
      </c>
      <c r="E23" t="s">
        <v>531</v>
      </c>
      <c r="G23" s="77">
        <v>100</v>
      </c>
      <c r="I23" s="81">
        <v>0.000806712962962963</v>
      </c>
      <c r="J23" s="75">
        <f t="shared" si="1"/>
        <v>5.164992826398852</v>
      </c>
      <c r="K23" s="75" t="s">
        <v>564</v>
      </c>
    </row>
    <row r="24" spans="1:11" ht="12.75">
      <c r="A24" s="26">
        <f t="shared" si="2"/>
        <v>23</v>
      </c>
      <c r="B24" s="10">
        <v>33228</v>
      </c>
      <c r="C24" t="s">
        <v>571</v>
      </c>
      <c r="E24" t="s">
        <v>531</v>
      </c>
      <c r="F24" s="74">
        <v>16.666666666666668</v>
      </c>
      <c r="G24" s="77">
        <v>100</v>
      </c>
      <c r="H24" s="1"/>
      <c r="I24" s="81">
        <v>0.0007971064814814814</v>
      </c>
      <c r="J24" s="21">
        <f t="shared" si="1"/>
        <v>5.227239727021926</v>
      </c>
      <c r="K24" s="13" t="s">
        <v>564</v>
      </c>
    </row>
    <row r="25" spans="1:12" ht="12.75">
      <c r="A25" s="26">
        <f t="shared" si="2"/>
        <v>24</v>
      </c>
      <c r="B25" s="10">
        <v>33243</v>
      </c>
      <c r="C25" t="s">
        <v>250</v>
      </c>
      <c r="E25" t="s">
        <v>531</v>
      </c>
      <c r="F25">
        <v>25</v>
      </c>
      <c r="G25" s="77">
        <v>25</v>
      </c>
      <c r="H25" s="1"/>
      <c r="I25" s="81">
        <v>0.0002023148148148148</v>
      </c>
      <c r="J25" s="21">
        <f t="shared" si="1"/>
        <v>5.148741418764302</v>
      </c>
      <c r="K25" s="13" t="s">
        <v>563</v>
      </c>
      <c r="L25" t="s">
        <v>565</v>
      </c>
    </row>
    <row r="26" spans="1:12" ht="12.75">
      <c r="A26" s="26">
        <f t="shared" si="2"/>
        <v>25</v>
      </c>
      <c r="B26" s="10">
        <v>33243</v>
      </c>
      <c r="C26" t="s">
        <v>250</v>
      </c>
      <c r="E26" t="s">
        <v>531</v>
      </c>
      <c r="F26">
        <v>25</v>
      </c>
      <c r="G26" s="77">
        <v>50</v>
      </c>
      <c r="H26" s="1"/>
      <c r="I26" s="81">
        <v>0.00035706018518518514</v>
      </c>
      <c r="J26" s="21">
        <f t="shared" si="1"/>
        <v>5.834683954619125</v>
      </c>
      <c r="K26" s="13" t="s">
        <v>564</v>
      </c>
      <c r="L26" t="s">
        <v>565</v>
      </c>
    </row>
    <row r="27" spans="1:12" ht="12.75">
      <c r="A27" s="26">
        <f t="shared" si="2"/>
        <v>26</v>
      </c>
      <c r="B27" s="10">
        <v>33243</v>
      </c>
      <c r="C27" t="s">
        <v>250</v>
      </c>
      <c r="E27" t="s">
        <v>531</v>
      </c>
      <c r="F27">
        <v>25</v>
      </c>
      <c r="G27" s="77">
        <v>200</v>
      </c>
      <c r="I27" s="81">
        <v>0.0021122685185185185</v>
      </c>
      <c r="J27" s="75">
        <f t="shared" si="1"/>
        <v>3.945205479452055</v>
      </c>
      <c r="K27" s="75" t="s">
        <v>573</v>
      </c>
      <c r="L27" t="s">
        <v>565</v>
      </c>
    </row>
    <row r="28" spans="1:11" ht="12.75">
      <c r="A28" s="26">
        <f t="shared" si="2"/>
        <v>27</v>
      </c>
      <c r="B28" s="10">
        <v>33255</v>
      </c>
      <c r="C28" t="s">
        <v>571</v>
      </c>
      <c r="E28" t="s">
        <v>531</v>
      </c>
      <c r="G28" s="77">
        <v>500</v>
      </c>
      <c r="I28" s="81">
        <v>0.004907407407407407</v>
      </c>
      <c r="J28" s="75">
        <f t="shared" si="1"/>
        <v>4.245283018867925</v>
      </c>
      <c r="K28" s="75" t="s">
        <v>564</v>
      </c>
    </row>
    <row r="29" spans="1:11" ht="12.75">
      <c r="A29" s="26">
        <f t="shared" si="2"/>
        <v>28</v>
      </c>
      <c r="B29" s="10">
        <v>33262</v>
      </c>
      <c r="C29" t="s">
        <v>571</v>
      </c>
      <c r="E29" t="s">
        <v>531</v>
      </c>
      <c r="G29" s="77">
        <v>1000</v>
      </c>
      <c r="I29" s="81">
        <v>0.00986111111111111</v>
      </c>
      <c r="J29" s="75">
        <f t="shared" si="1"/>
        <v>4.225352112676057</v>
      </c>
      <c r="K29" s="75" t="s">
        <v>564</v>
      </c>
    </row>
    <row r="30" spans="1:11" ht="12.75">
      <c r="A30" s="26">
        <f t="shared" si="2"/>
        <v>29</v>
      </c>
      <c r="B30" s="10">
        <v>33275</v>
      </c>
      <c r="C30" t="s">
        <v>571</v>
      </c>
      <c r="E30" t="s">
        <v>531</v>
      </c>
      <c r="F30" s="74">
        <v>16.666666666666668</v>
      </c>
      <c r="G30" s="77">
        <v>100</v>
      </c>
      <c r="H30" s="1"/>
      <c r="I30" s="81">
        <v>0.0010908564814814815</v>
      </c>
      <c r="J30" s="21">
        <f t="shared" si="1"/>
        <v>3.8196286472148544</v>
      </c>
      <c r="K30" s="13" t="s">
        <v>561</v>
      </c>
    </row>
    <row r="31" spans="1:11" ht="12.75">
      <c r="A31" s="26">
        <f t="shared" si="2"/>
        <v>30</v>
      </c>
      <c r="B31" s="10">
        <v>33276</v>
      </c>
      <c r="C31" t="s">
        <v>571</v>
      </c>
      <c r="E31" t="s">
        <v>531</v>
      </c>
      <c r="F31" s="74">
        <v>16.666666666666668</v>
      </c>
      <c r="G31" s="77">
        <v>50</v>
      </c>
      <c r="H31" s="1"/>
      <c r="I31" s="81">
        <v>0.0005018518518518519</v>
      </c>
      <c r="J31" s="21">
        <f t="shared" si="1"/>
        <v>4.151291512915129</v>
      </c>
      <c r="K31" s="13" t="s">
        <v>561</v>
      </c>
    </row>
    <row r="32" spans="1:11" ht="12.75">
      <c r="A32" s="26">
        <f t="shared" si="2"/>
        <v>31</v>
      </c>
      <c r="B32" s="10">
        <v>33282</v>
      </c>
      <c r="C32" t="s">
        <v>571</v>
      </c>
      <c r="E32" t="s">
        <v>531</v>
      </c>
      <c r="G32" s="77">
        <v>200</v>
      </c>
      <c r="I32" s="81">
        <v>0.002325347222222222</v>
      </c>
      <c r="J32" s="75">
        <f t="shared" si="1"/>
        <v>3.583694191428998</v>
      </c>
      <c r="K32" s="75" t="s">
        <v>564</v>
      </c>
    </row>
    <row r="33" spans="1:11" ht="12.75">
      <c r="A33" s="26">
        <f t="shared" si="2"/>
        <v>32</v>
      </c>
      <c r="B33" s="10">
        <v>33282</v>
      </c>
      <c r="C33" t="s">
        <v>571</v>
      </c>
      <c r="E33" t="s">
        <v>531</v>
      </c>
      <c r="G33" s="77">
        <v>200</v>
      </c>
      <c r="I33" s="81">
        <v>0.0023657407407407407</v>
      </c>
      <c r="J33" s="75">
        <f t="shared" si="1"/>
        <v>3.5225048923679063</v>
      </c>
      <c r="K33" s="75" t="s">
        <v>561</v>
      </c>
    </row>
    <row r="34" spans="1:11" ht="12.75">
      <c r="A34" s="26">
        <f t="shared" si="2"/>
        <v>33</v>
      </c>
      <c r="B34" s="10">
        <v>33284</v>
      </c>
      <c r="C34" t="s">
        <v>571</v>
      </c>
      <c r="E34" t="s">
        <v>531</v>
      </c>
      <c r="G34" s="77">
        <v>200</v>
      </c>
      <c r="I34" s="81">
        <v>0.0017875</v>
      </c>
      <c r="J34" s="75">
        <f aca="true" t="shared" si="3" ref="J34:J65">(G34)/((I34-INT(I34))*24)/1000</f>
        <v>4.662004662004662</v>
      </c>
      <c r="K34" s="75" t="s">
        <v>564</v>
      </c>
    </row>
    <row r="35" spans="1:11" ht="12.75">
      <c r="A35" s="26">
        <f t="shared" si="2"/>
        <v>34</v>
      </c>
      <c r="B35" s="10">
        <v>33287</v>
      </c>
      <c r="C35" t="s">
        <v>571</v>
      </c>
      <c r="E35" t="s">
        <v>531</v>
      </c>
      <c r="G35" s="77">
        <v>400</v>
      </c>
      <c r="I35" s="81">
        <v>0.003793634259259259</v>
      </c>
      <c r="J35" s="75">
        <f t="shared" si="3"/>
        <v>4.3933245873630895</v>
      </c>
      <c r="K35" s="75" t="s">
        <v>564</v>
      </c>
    </row>
    <row r="36" spans="1:11" ht="12.75">
      <c r="A36" s="26">
        <f t="shared" si="2"/>
        <v>35</v>
      </c>
      <c r="B36" s="10">
        <v>33291</v>
      </c>
      <c r="C36" t="s">
        <v>571</v>
      </c>
      <c r="E36" t="s">
        <v>531</v>
      </c>
      <c r="G36" s="77">
        <v>100</v>
      </c>
      <c r="I36" s="81">
        <v>0.0010758101851851853</v>
      </c>
      <c r="J36" s="21">
        <f t="shared" si="3"/>
        <v>3.8730500268961805</v>
      </c>
      <c r="K36" s="75" t="s">
        <v>561</v>
      </c>
    </row>
    <row r="37" spans="1:11" ht="12.75">
      <c r="A37" s="26">
        <f t="shared" si="2"/>
        <v>36</v>
      </c>
      <c r="B37" s="10">
        <v>33291</v>
      </c>
      <c r="C37" t="s">
        <v>571</v>
      </c>
      <c r="E37" t="s">
        <v>531</v>
      </c>
      <c r="G37" s="77">
        <v>200</v>
      </c>
      <c r="I37" s="81">
        <v>0.0025341435185185185</v>
      </c>
      <c r="J37" s="75">
        <f t="shared" si="3"/>
        <v>3.288422014158484</v>
      </c>
      <c r="K37" s="75" t="s">
        <v>563</v>
      </c>
    </row>
    <row r="38" spans="1:11" ht="12.75">
      <c r="A38" s="26">
        <f t="shared" si="2"/>
        <v>37</v>
      </c>
      <c r="B38" s="10">
        <v>33294</v>
      </c>
      <c r="C38" t="s">
        <v>571</v>
      </c>
      <c r="E38" t="s">
        <v>531</v>
      </c>
      <c r="G38" s="77">
        <v>50</v>
      </c>
      <c r="I38" s="81">
        <v>0.000494675925925926</v>
      </c>
      <c r="J38" s="21">
        <f t="shared" si="3"/>
        <v>4.211511464670098</v>
      </c>
      <c r="K38" s="75" t="s">
        <v>561</v>
      </c>
    </row>
    <row r="39" spans="1:11" ht="12.75">
      <c r="A39" s="26">
        <f t="shared" si="2"/>
        <v>38</v>
      </c>
      <c r="B39" s="10">
        <v>33296</v>
      </c>
      <c r="C39" t="s">
        <v>571</v>
      </c>
      <c r="E39" t="s">
        <v>531</v>
      </c>
      <c r="G39" s="77">
        <v>50</v>
      </c>
      <c r="I39" s="81">
        <v>0.0004886574074074074</v>
      </c>
      <c r="J39" s="21">
        <f t="shared" si="3"/>
        <v>4.263382283278067</v>
      </c>
      <c r="K39" s="75" t="s">
        <v>561</v>
      </c>
    </row>
    <row r="40" spans="1:11" ht="12.75">
      <c r="A40" s="26">
        <f t="shared" si="2"/>
        <v>39</v>
      </c>
      <c r="B40" s="10">
        <v>33296</v>
      </c>
      <c r="C40" t="s">
        <v>571</v>
      </c>
      <c r="E40" t="s">
        <v>531</v>
      </c>
      <c r="G40" s="77">
        <v>100</v>
      </c>
      <c r="I40" s="81">
        <v>0.0010590277777777777</v>
      </c>
      <c r="J40" s="21">
        <f t="shared" si="3"/>
        <v>3.934426229508197</v>
      </c>
      <c r="K40" s="75" t="s">
        <v>561</v>
      </c>
    </row>
    <row r="41" spans="1:11" ht="12.75">
      <c r="A41" s="26">
        <f t="shared" si="2"/>
        <v>40</v>
      </c>
      <c r="B41" s="10">
        <v>33297</v>
      </c>
      <c r="C41" t="s">
        <v>571</v>
      </c>
      <c r="E41" t="s">
        <v>531</v>
      </c>
      <c r="G41" s="77">
        <v>500</v>
      </c>
      <c r="I41" s="81">
        <v>0.004812037037037037</v>
      </c>
      <c r="J41" s="75">
        <f t="shared" si="3"/>
        <v>4.329420819703675</v>
      </c>
      <c r="K41" s="75" t="s">
        <v>564</v>
      </c>
    </row>
    <row r="42" spans="1:11" ht="12.75">
      <c r="A42" s="26">
        <f t="shared" si="2"/>
        <v>41</v>
      </c>
      <c r="B42" s="10">
        <v>33297</v>
      </c>
      <c r="C42" t="s">
        <v>571</v>
      </c>
      <c r="E42" t="s">
        <v>531</v>
      </c>
      <c r="G42" s="77">
        <v>800</v>
      </c>
      <c r="I42" s="81">
        <v>0.0077329861111111115</v>
      </c>
      <c r="J42" s="75">
        <f t="shared" si="3"/>
        <v>4.310538368281621</v>
      </c>
      <c r="K42" s="75" t="s">
        <v>564</v>
      </c>
    </row>
    <row r="43" spans="1:11" ht="12.75">
      <c r="A43" s="26">
        <f t="shared" si="2"/>
        <v>42</v>
      </c>
      <c r="B43" s="10">
        <v>33303</v>
      </c>
      <c r="C43" t="s">
        <v>571</v>
      </c>
      <c r="E43" t="s">
        <v>531</v>
      </c>
      <c r="G43" s="77">
        <v>800</v>
      </c>
      <c r="I43" s="81">
        <v>0.007789351851851852</v>
      </c>
      <c r="J43" s="75">
        <f t="shared" si="3"/>
        <v>4.279346210995542</v>
      </c>
      <c r="K43" s="75" t="s">
        <v>564</v>
      </c>
    </row>
    <row r="44" spans="1:11" ht="12.75">
      <c r="A44" s="26">
        <f t="shared" si="2"/>
        <v>43</v>
      </c>
      <c r="B44" s="10">
        <v>33303</v>
      </c>
      <c r="C44" t="s">
        <v>571</v>
      </c>
      <c r="E44" t="s">
        <v>531</v>
      </c>
      <c r="G44" s="77">
        <v>1000</v>
      </c>
      <c r="I44" s="81">
        <v>0.009705324074074075</v>
      </c>
      <c r="J44" s="75">
        <f t="shared" si="3"/>
        <v>4.293176234884442</v>
      </c>
      <c r="K44" s="75" t="s">
        <v>564</v>
      </c>
    </row>
    <row r="45" spans="1:11" ht="12.75">
      <c r="A45" s="26">
        <f t="shared" si="2"/>
        <v>44</v>
      </c>
      <c r="B45" s="10">
        <v>33304</v>
      </c>
      <c r="C45" t="s">
        <v>571</v>
      </c>
      <c r="E45" t="s">
        <v>531</v>
      </c>
      <c r="G45" s="77">
        <v>200</v>
      </c>
      <c r="I45" s="81">
        <v>0.0023372685185185185</v>
      </c>
      <c r="J45" s="75">
        <f t="shared" si="3"/>
        <v>3.5654154699415668</v>
      </c>
      <c r="K45" s="75" t="s">
        <v>561</v>
      </c>
    </row>
    <row r="46" spans="1:12" ht="12.75">
      <c r="A46" s="26">
        <f t="shared" si="2"/>
        <v>45</v>
      </c>
      <c r="B46" s="10">
        <v>33313</v>
      </c>
      <c r="C46" t="s">
        <v>111</v>
      </c>
      <c r="D46" t="s">
        <v>521</v>
      </c>
      <c r="E46" t="s">
        <v>531</v>
      </c>
      <c r="F46" t="s">
        <v>560</v>
      </c>
      <c r="G46" s="77">
        <v>100</v>
      </c>
      <c r="H46" s="1"/>
      <c r="I46" s="81">
        <v>0.0011099537037037035</v>
      </c>
      <c r="J46" s="21">
        <f t="shared" si="3"/>
        <v>3.7539103232533892</v>
      </c>
      <c r="K46" s="13" t="s">
        <v>561</v>
      </c>
      <c r="L46" t="s">
        <v>155</v>
      </c>
    </row>
    <row r="47" spans="1:12" ht="12.75">
      <c r="A47" s="26">
        <f t="shared" si="2"/>
        <v>46</v>
      </c>
      <c r="B47" s="10">
        <v>33313</v>
      </c>
      <c r="C47" t="s">
        <v>111</v>
      </c>
      <c r="D47" t="s">
        <v>521</v>
      </c>
      <c r="E47" t="s">
        <v>531</v>
      </c>
      <c r="F47" t="s">
        <v>560</v>
      </c>
      <c r="G47" s="77">
        <v>200</v>
      </c>
      <c r="H47" s="1"/>
      <c r="I47" s="81">
        <v>0.0018449074074074073</v>
      </c>
      <c r="J47" s="21">
        <f t="shared" si="3"/>
        <v>4.51693851944793</v>
      </c>
      <c r="K47" s="13" t="s">
        <v>564</v>
      </c>
      <c r="L47" t="s">
        <v>155</v>
      </c>
    </row>
    <row r="48" spans="1:12" ht="12.75">
      <c r="A48" s="26">
        <f t="shared" si="2"/>
        <v>47</v>
      </c>
      <c r="B48" s="10">
        <v>33313</v>
      </c>
      <c r="C48" t="s">
        <v>111</v>
      </c>
      <c r="D48" t="s">
        <v>521</v>
      </c>
      <c r="E48" t="s">
        <v>531</v>
      </c>
      <c r="F48" t="s">
        <v>560</v>
      </c>
      <c r="G48" s="77">
        <v>50</v>
      </c>
      <c r="H48" s="1"/>
      <c r="I48" s="81">
        <v>0.0003634259259259259</v>
      </c>
      <c r="J48" s="21">
        <f t="shared" si="3"/>
        <v>5.7324840764331215</v>
      </c>
      <c r="K48" s="13" t="s">
        <v>564</v>
      </c>
      <c r="L48" t="s">
        <v>155</v>
      </c>
    </row>
    <row r="49" spans="1:12" ht="12.75">
      <c r="A49" s="26">
        <f t="shared" si="2"/>
        <v>48</v>
      </c>
      <c r="B49" s="10">
        <v>33313</v>
      </c>
      <c r="C49" t="s">
        <v>111</v>
      </c>
      <c r="D49" t="s">
        <v>521</v>
      </c>
      <c r="E49" t="s">
        <v>531</v>
      </c>
      <c r="F49" t="s">
        <v>560</v>
      </c>
      <c r="G49" s="77">
        <v>100</v>
      </c>
      <c r="H49" s="1"/>
      <c r="I49" s="81">
        <v>0.0007974537037037038</v>
      </c>
      <c r="J49" s="21">
        <f t="shared" si="3"/>
        <v>5.2249637155297535</v>
      </c>
      <c r="K49" s="13" t="s">
        <v>564</v>
      </c>
      <c r="L49" t="s">
        <v>155</v>
      </c>
    </row>
    <row r="50" spans="1:11" ht="12.75">
      <c r="A50" s="26">
        <f t="shared" si="2"/>
        <v>49</v>
      </c>
      <c r="B50" s="10">
        <v>33315</v>
      </c>
      <c r="C50" t="s">
        <v>571</v>
      </c>
      <c r="E50" t="s">
        <v>531</v>
      </c>
      <c r="G50" s="77">
        <v>100</v>
      </c>
      <c r="I50" s="81">
        <v>0.0007956018518518519</v>
      </c>
      <c r="J50" s="21">
        <f t="shared" si="3"/>
        <v>5.23712540005819</v>
      </c>
      <c r="K50" s="75" t="s">
        <v>564</v>
      </c>
    </row>
    <row r="51" spans="1:11" ht="12.75">
      <c r="A51" s="26">
        <f t="shared" si="2"/>
        <v>50</v>
      </c>
      <c r="B51" s="10">
        <v>33318</v>
      </c>
      <c r="C51" t="s">
        <v>571</v>
      </c>
      <c r="E51" t="s">
        <v>531</v>
      </c>
      <c r="G51" s="77">
        <v>200</v>
      </c>
      <c r="I51" s="81">
        <v>0.0017644675925925926</v>
      </c>
      <c r="J51" s="75">
        <f t="shared" si="3"/>
        <v>4.722859954083305</v>
      </c>
      <c r="K51" s="75" t="s">
        <v>564</v>
      </c>
    </row>
    <row r="52" spans="1:11" ht="12.75">
      <c r="A52" s="26">
        <f t="shared" si="2"/>
        <v>51</v>
      </c>
      <c r="B52" s="10">
        <v>33325</v>
      </c>
      <c r="C52" t="s">
        <v>571</v>
      </c>
      <c r="E52" t="s">
        <v>531</v>
      </c>
      <c r="G52" s="77">
        <v>1000</v>
      </c>
      <c r="I52" s="81">
        <v>0.009620717592592592</v>
      </c>
      <c r="J52" s="75">
        <f t="shared" si="3"/>
        <v>4.33093127052681</v>
      </c>
      <c r="K52" s="75" t="s">
        <v>564</v>
      </c>
    </row>
    <row r="53" spans="1:11" ht="12.75">
      <c r="A53" s="26">
        <f t="shared" si="2"/>
        <v>52</v>
      </c>
      <c r="B53" s="10">
        <v>33337</v>
      </c>
      <c r="C53" t="s">
        <v>571</v>
      </c>
      <c r="E53" t="s">
        <v>531</v>
      </c>
      <c r="G53" s="77">
        <v>200</v>
      </c>
      <c r="I53" s="81">
        <v>0.0022916666666666667</v>
      </c>
      <c r="J53" s="75">
        <f t="shared" si="3"/>
        <v>3.6363636363636367</v>
      </c>
      <c r="K53" s="75" t="s">
        <v>562</v>
      </c>
    </row>
    <row r="54" spans="1:12" ht="12.75">
      <c r="A54" s="26">
        <f t="shared" si="2"/>
        <v>53</v>
      </c>
      <c r="B54" s="10">
        <v>33360</v>
      </c>
      <c r="C54" t="s">
        <v>574</v>
      </c>
      <c r="E54" t="s">
        <v>531</v>
      </c>
      <c r="F54">
        <v>25</v>
      </c>
      <c r="G54" s="77">
        <v>50</v>
      </c>
      <c r="I54" s="81">
        <v>0.0003453703703703704</v>
      </c>
      <c r="J54" s="21">
        <f t="shared" si="3"/>
        <v>6.032171581769437</v>
      </c>
      <c r="K54" s="75" t="s">
        <v>564</v>
      </c>
      <c r="L54" t="s">
        <v>575</v>
      </c>
    </row>
    <row r="55" spans="1:12" ht="12.75">
      <c r="A55" s="26">
        <f t="shared" si="2"/>
        <v>54</v>
      </c>
      <c r="B55" s="10">
        <v>33360</v>
      </c>
      <c r="C55" t="s">
        <v>574</v>
      </c>
      <c r="E55" t="s">
        <v>531</v>
      </c>
      <c r="F55">
        <v>25</v>
      </c>
      <c r="G55" s="77">
        <v>50</v>
      </c>
      <c r="I55" s="81">
        <v>0.00041944444444444445</v>
      </c>
      <c r="J55" s="21">
        <f t="shared" si="3"/>
        <v>4.966887417218543</v>
      </c>
      <c r="K55" s="75" t="s">
        <v>562</v>
      </c>
      <c r="L55" t="s">
        <v>575</v>
      </c>
    </row>
    <row r="56" spans="1:12" ht="12.75">
      <c r="A56" s="26">
        <f t="shared" si="2"/>
        <v>55</v>
      </c>
      <c r="B56" s="10">
        <v>33360</v>
      </c>
      <c r="C56" t="s">
        <v>574</v>
      </c>
      <c r="E56" t="s">
        <v>531</v>
      </c>
      <c r="F56">
        <v>25</v>
      </c>
      <c r="G56" s="77">
        <v>50</v>
      </c>
      <c r="I56" s="81">
        <v>0.00042476851851851855</v>
      </c>
      <c r="J56" s="21">
        <f t="shared" si="3"/>
        <v>4.9046321525885554</v>
      </c>
      <c r="K56" s="75" t="s">
        <v>563</v>
      </c>
      <c r="L56" t="s">
        <v>575</v>
      </c>
    </row>
    <row r="57" spans="1:12" ht="12.75">
      <c r="A57" s="26">
        <f t="shared" si="2"/>
        <v>56</v>
      </c>
      <c r="B57" s="10">
        <v>33360</v>
      </c>
      <c r="C57" t="s">
        <v>574</v>
      </c>
      <c r="E57" t="s">
        <v>531</v>
      </c>
      <c r="F57">
        <v>25</v>
      </c>
      <c r="G57" s="77">
        <v>50</v>
      </c>
      <c r="I57" s="81">
        <v>0.0004895833333333333</v>
      </c>
      <c r="J57" s="21">
        <f t="shared" si="3"/>
        <v>4.25531914893617</v>
      </c>
      <c r="K57" s="75" t="s">
        <v>561</v>
      </c>
      <c r="L57" t="s">
        <v>575</v>
      </c>
    </row>
    <row r="58" spans="1:12" ht="12.75">
      <c r="A58" s="26">
        <f t="shared" si="2"/>
        <v>57</v>
      </c>
      <c r="B58" s="10">
        <v>33404</v>
      </c>
      <c r="C58" t="s">
        <v>65</v>
      </c>
      <c r="E58" t="s">
        <v>531</v>
      </c>
      <c r="G58" s="77">
        <v>100</v>
      </c>
      <c r="I58" s="81">
        <v>0.000795138888888889</v>
      </c>
      <c r="J58" s="75">
        <f t="shared" si="3"/>
        <v>5.240174672489083</v>
      </c>
      <c r="K58" s="75" t="s">
        <v>564</v>
      </c>
      <c r="L58" t="s">
        <v>568</v>
      </c>
    </row>
    <row r="59" spans="1:12" ht="12.75">
      <c r="A59" s="26">
        <f t="shared" si="2"/>
        <v>58</v>
      </c>
      <c r="B59" s="10">
        <v>33404</v>
      </c>
      <c r="C59" t="s">
        <v>65</v>
      </c>
      <c r="E59" t="s">
        <v>531</v>
      </c>
      <c r="G59" s="77">
        <v>100</v>
      </c>
      <c r="I59" s="81">
        <v>0.0010821759259259259</v>
      </c>
      <c r="J59" s="75">
        <f t="shared" si="3"/>
        <v>3.8502673796791442</v>
      </c>
      <c r="K59" s="75" t="s">
        <v>561</v>
      </c>
      <c r="L59" t="s">
        <v>568</v>
      </c>
    </row>
    <row r="60" spans="1:12" ht="12.75">
      <c r="A60" s="26">
        <f t="shared" si="2"/>
        <v>59</v>
      </c>
      <c r="B60" s="10">
        <v>33404</v>
      </c>
      <c r="C60" t="s">
        <v>65</v>
      </c>
      <c r="E60" t="s">
        <v>531</v>
      </c>
      <c r="G60" s="77">
        <v>50</v>
      </c>
      <c r="I60" s="81">
        <v>0.00043402777777777775</v>
      </c>
      <c r="J60" s="75">
        <f t="shared" si="3"/>
        <v>4.8</v>
      </c>
      <c r="K60" s="75" t="s">
        <v>563</v>
      </c>
      <c r="L60" t="s">
        <v>568</v>
      </c>
    </row>
    <row r="61" spans="1:12" ht="12.75">
      <c r="A61" s="26">
        <f t="shared" si="2"/>
        <v>60</v>
      </c>
      <c r="B61" s="10">
        <v>33404</v>
      </c>
      <c r="C61" t="s">
        <v>65</v>
      </c>
      <c r="E61" t="s">
        <v>531</v>
      </c>
      <c r="G61" s="77">
        <v>100</v>
      </c>
      <c r="I61" s="81">
        <v>0.0009432870370370371</v>
      </c>
      <c r="J61" s="75">
        <f t="shared" si="3"/>
        <v>4.41717791411043</v>
      </c>
      <c r="K61" s="75" t="s">
        <v>562</v>
      </c>
      <c r="L61" t="s">
        <v>568</v>
      </c>
    </row>
    <row r="62" spans="1:12" ht="12.75">
      <c r="A62" s="26">
        <f t="shared" si="2"/>
        <v>61</v>
      </c>
      <c r="B62" s="10">
        <v>33479</v>
      </c>
      <c r="C62" t="s">
        <v>574</v>
      </c>
      <c r="E62" t="s">
        <v>531</v>
      </c>
      <c r="G62" s="77">
        <v>1000</v>
      </c>
      <c r="I62" s="81">
        <v>0.009715277777777778</v>
      </c>
      <c r="J62" s="75">
        <f t="shared" si="3"/>
        <v>4.288777698355969</v>
      </c>
      <c r="K62" s="75" t="s">
        <v>564</v>
      </c>
      <c r="L62" t="s">
        <v>579</v>
      </c>
    </row>
    <row r="63" spans="1:11" ht="12.75">
      <c r="A63" s="26">
        <f t="shared" si="2"/>
        <v>62</v>
      </c>
      <c r="B63" s="10">
        <v>33506</v>
      </c>
      <c r="C63" t="s">
        <v>571</v>
      </c>
      <c r="E63" t="s">
        <v>531</v>
      </c>
      <c r="G63" s="77">
        <v>500</v>
      </c>
      <c r="I63" s="81">
        <v>0.004637731481481481</v>
      </c>
      <c r="J63" s="75">
        <f t="shared" si="3"/>
        <v>4.492138757174945</v>
      </c>
      <c r="K63" s="75" t="s">
        <v>564</v>
      </c>
    </row>
    <row r="64" spans="1:11" ht="12.75">
      <c r="A64" s="26">
        <f t="shared" si="2"/>
        <v>63</v>
      </c>
      <c r="B64" s="10">
        <v>33508</v>
      </c>
      <c r="C64" t="s">
        <v>571</v>
      </c>
      <c r="E64" t="s">
        <v>531</v>
      </c>
      <c r="G64" s="77">
        <v>200</v>
      </c>
      <c r="I64" s="81">
        <v>0.001749537037037037</v>
      </c>
      <c r="J64" s="75">
        <f t="shared" si="3"/>
        <v>4.763164858428156</v>
      </c>
      <c r="K64" s="75" t="s">
        <v>564</v>
      </c>
    </row>
    <row r="65" spans="1:11" ht="12.75">
      <c r="A65" s="26">
        <f t="shared" si="2"/>
        <v>64</v>
      </c>
      <c r="B65" s="10">
        <v>33511</v>
      </c>
      <c r="C65" t="s">
        <v>571</v>
      </c>
      <c r="E65" t="s">
        <v>531</v>
      </c>
      <c r="G65" s="77">
        <v>100</v>
      </c>
      <c r="I65" s="81">
        <v>0.0007775462962962963</v>
      </c>
      <c r="J65" s="75">
        <f t="shared" si="3"/>
        <v>5.358737719559393</v>
      </c>
      <c r="K65" s="75" t="s">
        <v>581</v>
      </c>
    </row>
    <row r="66" spans="1:11" ht="12.75">
      <c r="A66" s="26">
        <f t="shared" si="2"/>
        <v>65</v>
      </c>
      <c r="B66" s="10">
        <v>33511</v>
      </c>
      <c r="C66" t="s">
        <v>571</v>
      </c>
      <c r="E66" t="s">
        <v>531</v>
      </c>
      <c r="G66" s="77">
        <v>200</v>
      </c>
      <c r="I66" s="81">
        <v>0.001680439814814815</v>
      </c>
      <c r="J66" s="75">
        <f aca="true" t="shared" si="4" ref="J66:J88">(G66)/((I66-INT(I66))*24)/1000</f>
        <v>4.959019216199462</v>
      </c>
      <c r="K66" s="75" t="s">
        <v>564</v>
      </c>
    </row>
    <row r="67" spans="1:11" ht="12.75">
      <c r="A67" s="26">
        <f t="shared" si="2"/>
        <v>66</v>
      </c>
      <c r="B67" s="10">
        <v>33521</v>
      </c>
      <c r="C67" t="s">
        <v>571</v>
      </c>
      <c r="E67" t="s">
        <v>531</v>
      </c>
      <c r="G67" s="77">
        <v>200</v>
      </c>
      <c r="I67" s="81">
        <v>0.0020564814814814816</v>
      </c>
      <c r="J67" s="75">
        <f t="shared" si="4"/>
        <v>4.05222872579919</v>
      </c>
      <c r="K67" s="75" t="s">
        <v>562</v>
      </c>
    </row>
    <row r="68" spans="1:11" ht="12.75">
      <c r="A68" s="26">
        <f t="shared" si="2"/>
        <v>67</v>
      </c>
      <c r="B68" s="10">
        <v>33526</v>
      </c>
      <c r="C68" t="s">
        <v>571</v>
      </c>
      <c r="E68" t="s">
        <v>531</v>
      </c>
      <c r="G68" s="77">
        <v>1500</v>
      </c>
      <c r="I68" s="81">
        <v>0.015527893518518519</v>
      </c>
      <c r="J68" s="75">
        <f t="shared" si="4"/>
        <v>4.025014721118656</v>
      </c>
      <c r="K68" s="75" t="s">
        <v>564</v>
      </c>
    </row>
    <row r="69" spans="1:11" ht="12.75">
      <c r="A69" s="26">
        <f t="shared" si="2"/>
        <v>68</v>
      </c>
      <c r="B69" s="10">
        <v>33526</v>
      </c>
      <c r="C69" t="s">
        <v>571</v>
      </c>
      <c r="E69" t="s">
        <v>531</v>
      </c>
      <c r="G69" s="77">
        <v>2000</v>
      </c>
      <c r="I69" s="81">
        <v>0.020732175925925925</v>
      </c>
      <c r="J69" s="75">
        <f t="shared" si="4"/>
        <v>4.0195169880419375</v>
      </c>
      <c r="K69" s="75" t="s">
        <v>564</v>
      </c>
    </row>
    <row r="70" spans="1:11" ht="12.75">
      <c r="A70" s="26">
        <f t="shared" si="2"/>
        <v>69</v>
      </c>
      <c r="B70" s="10">
        <v>33564</v>
      </c>
      <c r="C70" t="s">
        <v>567</v>
      </c>
      <c r="E70" t="s">
        <v>531</v>
      </c>
      <c r="G70" s="77">
        <v>50</v>
      </c>
      <c r="I70" s="81">
        <v>0.0004155092592592592</v>
      </c>
      <c r="J70" s="75">
        <f t="shared" si="4"/>
        <v>5.013927576601672</v>
      </c>
      <c r="K70" s="75" t="s">
        <v>563</v>
      </c>
    </row>
    <row r="71" spans="1:11" ht="12.75">
      <c r="A71" s="26">
        <f t="shared" si="2"/>
        <v>70</v>
      </c>
      <c r="B71" s="10">
        <v>33564</v>
      </c>
      <c r="C71" t="s">
        <v>567</v>
      </c>
      <c r="E71" t="s">
        <v>531</v>
      </c>
      <c r="G71" s="77">
        <v>50</v>
      </c>
      <c r="I71" s="81">
        <v>0.0004155092592592592</v>
      </c>
      <c r="J71" s="75">
        <f t="shared" si="4"/>
        <v>5.013927576601672</v>
      </c>
      <c r="K71" s="75" t="s">
        <v>562</v>
      </c>
    </row>
    <row r="72" spans="1:11" ht="12.75">
      <c r="A72" s="26">
        <f t="shared" si="2"/>
        <v>71</v>
      </c>
      <c r="B72" s="10">
        <v>33564</v>
      </c>
      <c r="C72" t="s">
        <v>567</v>
      </c>
      <c r="E72" t="s">
        <v>531</v>
      </c>
      <c r="G72" s="77">
        <v>50</v>
      </c>
      <c r="I72" s="81">
        <v>0.00047569444444444444</v>
      </c>
      <c r="J72" s="75">
        <f t="shared" si="4"/>
        <v>4.37956204379562</v>
      </c>
      <c r="K72" s="75" t="s">
        <v>561</v>
      </c>
    </row>
    <row r="73" spans="1:11" ht="12.75">
      <c r="A73" s="26">
        <f t="shared" si="2"/>
        <v>72</v>
      </c>
      <c r="B73" s="10">
        <v>33564</v>
      </c>
      <c r="C73" t="s">
        <v>567</v>
      </c>
      <c r="E73" t="s">
        <v>531</v>
      </c>
      <c r="G73" s="77">
        <v>50</v>
      </c>
      <c r="I73" s="81">
        <v>0.00034490740740740743</v>
      </c>
      <c r="J73" s="75">
        <f t="shared" si="4"/>
        <v>6.040268456375839</v>
      </c>
      <c r="K73" s="75" t="s">
        <v>564</v>
      </c>
    </row>
    <row r="74" spans="1:11" ht="12.75">
      <c r="A74" s="26">
        <f t="shared" si="2"/>
        <v>73</v>
      </c>
      <c r="B74" s="10">
        <v>33578</v>
      </c>
      <c r="C74" t="s">
        <v>571</v>
      </c>
      <c r="E74" t="s">
        <v>531</v>
      </c>
      <c r="G74" s="77">
        <v>400</v>
      </c>
      <c r="I74" s="81">
        <v>0.004645601851851851</v>
      </c>
      <c r="J74" s="75">
        <f t="shared" si="4"/>
        <v>3.5876227016792073</v>
      </c>
      <c r="K74" t="s">
        <v>573</v>
      </c>
    </row>
    <row r="75" spans="1:11" ht="12.75">
      <c r="A75" s="26">
        <f t="shared" si="2"/>
        <v>74</v>
      </c>
      <c r="B75" s="10">
        <v>33581</v>
      </c>
      <c r="C75" t="s">
        <v>571</v>
      </c>
      <c r="E75" t="s">
        <v>531</v>
      </c>
      <c r="G75" s="77">
        <v>200</v>
      </c>
      <c r="I75" s="81">
        <v>0.0020601851851851853</v>
      </c>
      <c r="J75" s="75">
        <f t="shared" si="4"/>
        <v>4.044943820224719</v>
      </c>
      <c r="K75" t="s">
        <v>573</v>
      </c>
    </row>
    <row r="76" spans="1:11" ht="12.75">
      <c r="A76" s="26">
        <f t="shared" si="2"/>
        <v>75</v>
      </c>
      <c r="B76" s="10">
        <v>33618</v>
      </c>
      <c r="C76" t="s">
        <v>571</v>
      </c>
      <c r="E76" t="s">
        <v>531</v>
      </c>
      <c r="G76" s="77">
        <v>50</v>
      </c>
      <c r="I76" s="81">
        <v>0.00034004629629629624</v>
      </c>
      <c r="J76" s="75">
        <f t="shared" si="4"/>
        <v>6.126616746085773</v>
      </c>
      <c r="K76" s="75" t="s">
        <v>564</v>
      </c>
    </row>
    <row r="77" spans="1:11" ht="12.75">
      <c r="A77" s="26">
        <f t="shared" si="2"/>
        <v>76</v>
      </c>
      <c r="B77" s="10">
        <v>33618</v>
      </c>
      <c r="C77" t="s">
        <v>571</v>
      </c>
      <c r="E77" t="s">
        <v>531</v>
      </c>
      <c r="F77" s="74">
        <v>16.666666666666668</v>
      </c>
      <c r="G77" s="77">
        <v>200</v>
      </c>
      <c r="I77" s="81">
        <v>0.002244675925925926</v>
      </c>
      <c r="J77" s="75">
        <f t="shared" si="4"/>
        <v>3.712488398473755</v>
      </c>
      <c r="K77" s="75" t="s">
        <v>563</v>
      </c>
    </row>
    <row r="78" spans="1:11" ht="12.75">
      <c r="A78" s="26">
        <f t="shared" si="2"/>
        <v>77</v>
      </c>
      <c r="B78" s="10">
        <v>33625</v>
      </c>
      <c r="C78" t="s">
        <v>571</v>
      </c>
      <c r="E78" t="s">
        <v>531</v>
      </c>
      <c r="G78" s="77">
        <v>100</v>
      </c>
      <c r="I78" s="81">
        <v>0.0007181712962962963</v>
      </c>
      <c r="J78" s="75">
        <f t="shared" si="4"/>
        <v>5.801772763900081</v>
      </c>
      <c r="K78" s="75" t="s">
        <v>564</v>
      </c>
    </row>
    <row r="79" spans="1:11" ht="12.75">
      <c r="A79" s="26">
        <f t="shared" si="2"/>
        <v>78</v>
      </c>
      <c r="B79" s="10">
        <v>33629</v>
      </c>
      <c r="C79" t="s">
        <v>583</v>
      </c>
      <c r="E79" t="s">
        <v>531</v>
      </c>
      <c r="F79">
        <v>25</v>
      </c>
      <c r="G79" s="77">
        <v>100</v>
      </c>
      <c r="I79" s="81">
        <v>0.0007187499999999999</v>
      </c>
      <c r="J79" s="75">
        <f t="shared" si="4"/>
        <v>5.797101449275363</v>
      </c>
      <c r="K79" s="75" t="s">
        <v>564</v>
      </c>
    </row>
    <row r="80" spans="1:11" ht="12.75">
      <c r="A80" s="26">
        <f t="shared" si="2"/>
        <v>79</v>
      </c>
      <c r="B80" s="10">
        <v>33629</v>
      </c>
      <c r="C80" t="s">
        <v>583</v>
      </c>
      <c r="E80" t="s">
        <v>531</v>
      </c>
      <c r="F80">
        <v>25</v>
      </c>
      <c r="G80" s="77">
        <v>100</v>
      </c>
      <c r="I80" s="81">
        <v>0.0008958333333333334</v>
      </c>
      <c r="J80" s="75">
        <f t="shared" si="4"/>
        <v>4.651162790697674</v>
      </c>
      <c r="K80" s="75" t="s">
        <v>563</v>
      </c>
    </row>
    <row r="81" spans="1:12" ht="12.75">
      <c r="A81" s="26">
        <f aca="true" t="shared" si="5" ref="A81:A130">IF(B81=0,"",ROW(A80))</f>
        <v>80</v>
      </c>
      <c r="B81" s="10">
        <v>33629</v>
      </c>
      <c r="C81" t="s">
        <v>583</v>
      </c>
      <c r="E81" t="s">
        <v>531</v>
      </c>
      <c r="F81">
        <v>25</v>
      </c>
      <c r="G81" s="77">
        <v>200</v>
      </c>
      <c r="I81" s="81">
        <v>0.001574074074074074</v>
      </c>
      <c r="J81" s="75">
        <f t="shared" si="4"/>
        <v>5.294117647058823</v>
      </c>
      <c r="K81" s="75" t="s">
        <v>564</v>
      </c>
      <c r="L81" t="s">
        <v>579</v>
      </c>
    </row>
    <row r="82" spans="1:11" ht="12.75">
      <c r="A82" s="26">
        <f t="shared" si="5"/>
        <v>81</v>
      </c>
      <c r="B82" s="10">
        <v>33630</v>
      </c>
      <c r="C82" t="s">
        <v>571</v>
      </c>
      <c r="E82" t="s">
        <v>531</v>
      </c>
      <c r="G82" s="77">
        <v>500</v>
      </c>
      <c r="I82" s="81">
        <v>0.004478125</v>
      </c>
      <c r="J82" s="75">
        <f t="shared" si="4"/>
        <v>4.652244708071644</v>
      </c>
      <c r="K82" s="75" t="s">
        <v>564</v>
      </c>
    </row>
    <row r="83" spans="1:11" ht="12.75">
      <c r="A83" s="26">
        <f t="shared" si="5"/>
        <v>82</v>
      </c>
      <c r="B83" s="10">
        <v>33630</v>
      </c>
      <c r="C83" t="s">
        <v>571</v>
      </c>
      <c r="E83" t="s">
        <v>531</v>
      </c>
      <c r="G83" s="77">
        <v>800</v>
      </c>
      <c r="I83" s="81">
        <v>0.007164467592592593</v>
      </c>
      <c r="J83" s="75">
        <f t="shared" si="4"/>
        <v>4.652590426649004</v>
      </c>
      <c r="K83" s="75" t="s">
        <v>564</v>
      </c>
    </row>
    <row r="84" spans="1:11" ht="12.75">
      <c r="A84" s="26">
        <f t="shared" si="5"/>
        <v>83</v>
      </c>
      <c r="B84" s="10">
        <v>33655</v>
      </c>
      <c r="C84" t="s">
        <v>567</v>
      </c>
      <c r="E84" t="s">
        <v>531</v>
      </c>
      <c r="F84">
        <v>25</v>
      </c>
      <c r="G84" s="77">
        <v>100</v>
      </c>
      <c r="I84" s="81">
        <v>0.000997337962962963</v>
      </c>
      <c r="J84" s="75">
        <f t="shared" si="4"/>
        <v>4.177788093303933</v>
      </c>
      <c r="K84" s="75" t="s">
        <v>561</v>
      </c>
    </row>
    <row r="85" spans="1:11" ht="12.75">
      <c r="A85" s="26">
        <f t="shared" si="5"/>
        <v>84</v>
      </c>
      <c r="B85" s="10">
        <v>33679</v>
      </c>
      <c r="C85" t="s">
        <v>571</v>
      </c>
      <c r="E85" t="s">
        <v>531</v>
      </c>
      <c r="G85" s="77">
        <v>1000</v>
      </c>
      <c r="I85" s="81">
        <v>0.008855787037037037</v>
      </c>
      <c r="J85" s="75">
        <f t="shared" si="4"/>
        <v>4.705021303290901</v>
      </c>
      <c r="K85" s="75" t="s">
        <v>564</v>
      </c>
    </row>
    <row r="86" spans="1:11" ht="12.75">
      <c r="A86" s="26">
        <f t="shared" si="5"/>
        <v>85</v>
      </c>
      <c r="B86" s="10">
        <v>33682</v>
      </c>
      <c r="C86" t="s">
        <v>571</v>
      </c>
      <c r="E86" t="s">
        <v>531</v>
      </c>
      <c r="G86" s="77">
        <v>400</v>
      </c>
      <c r="I86" s="81">
        <v>0.0034912037037037034</v>
      </c>
      <c r="J86" s="75">
        <f t="shared" si="4"/>
        <v>4.773902665428988</v>
      </c>
      <c r="K86" s="75" t="s">
        <v>564</v>
      </c>
    </row>
    <row r="87" spans="1:12" ht="12.75">
      <c r="A87" s="26">
        <f t="shared" si="5"/>
        <v>86</v>
      </c>
      <c r="B87" s="10">
        <v>36951</v>
      </c>
      <c r="C87" t="s">
        <v>386</v>
      </c>
      <c r="D87" t="s">
        <v>387</v>
      </c>
      <c r="E87" t="s">
        <v>531</v>
      </c>
      <c r="F87" t="s">
        <v>532</v>
      </c>
      <c r="G87" s="77">
        <v>4237</v>
      </c>
      <c r="H87">
        <v>8</v>
      </c>
      <c r="I87" s="82">
        <v>0.0430787037037037</v>
      </c>
      <c r="J87" s="21">
        <f t="shared" si="4"/>
        <v>4.098119290703923</v>
      </c>
      <c r="K87" s="21" t="s">
        <v>564</v>
      </c>
      <c r="L87" t="s">
        <v>533</v>
      </c>
    </row>
    <row r="88" spans="1:12" ht="12.75">
      <c r="A88" s="26">
        <f t="shared" si="5"/>
        <v>87</v>
      </c>
      <c r="B88" s="10">
        <v>38158</v>
      </c>
      <c r="C88" t="s">
        <v>92</v>
      </c>
      <c r="D88" t="s">
        <v>521</v>
      </c>
      <c r="E88" t="s">
        <v>531</v>
      </c>
      <c r="F88" t="s">
        <v>532</v>
      </c>
      <c r="G88" s="77">
        <v>3000</v>
      </c>
      <c r="H88">
        <v>7</v>
      </c>
      <c r="I88" s="81">
        <v>0.028796296296296296</v>
      </c>
      <c r="J88" s="21">
        <f t="shared" si="4"/>
        <v>4.340836012861736</v>
      </c>
      <c r="K88" s="21" t="s">
        <v>564</v>
      </c>
      <c r="L88" t="s">
        <v>553</v>
      </c>
    </row>
    <row r="89" ht="12.75">
      <c r="A89" s="26">
        <f t="shared" si="5"/>
      </c>
    </row>
    <row r="90" ht="12.75">
      <c r="A90" s="26">
        <f t="shared" si="5"/>
      </c>
    </row>
    <row r="91" ht="12.75">
      <c r="A91" s="26">
        <f t="shared" si="5"/>
      </c>
    </row>
    <row r="92" ht="12.75">
      <c r="A92" s="26">
        <f t="shared" si="5"/>
      </c>
    </row>
    <row r="93" ht="12.75">
      <c r="A93" s="26">
        <f t="shared" si="5"/>
      </c>
    </row>
    <row r="94" ht="12.75">
      <c r="A94" s="26">
        <f t="shared" si="5"/>
      </c>
    </row>
    <row r="95" ht="12.75">
      <c r="A95" s="26">
        <f t="shared" si="5"/>
      </c>
    </row>
    <row r="96" ht="12.75">
      <c r="A96" s="26">
        <f t="shared" si="5"/>
      </c>
    </row>
    <row r="97" ht="12.75">
      <c r="A97" s="26">
        <f t="shared" si="5"/>
      </c>
    </row>
    <row r="98" ht="12.75">
      <c r="A98" s="26">
        <f t="shared" si="5"/>
      </c>
    </row>
    <row r="99" ht="12.75">
      <c r="A99" s="26">
        <f t="shared" si="5"/>
      </c>
    </row>
    <row r="100" ht="12.75">
      <c r="A100" s="26">
        <f t="shared" si="5"/>
      </c>
    </row>
    <row r="101" ht="12.75">
      <c r="A101" s="26">
        <f t="shared" si="5"/>
      </c>
    </row>
    <row r="102" ht="12.75">
      <c r="A102" s="26">
        <f t="shared" si="5"/>
      </c>
    </row>
    <row r="103" ht="12.75">
      <c r="A103" s="26">
        <f t="shared" si="5"/>
      </c>
    </row>
    <row r="104" ht="12.75">
      <c r="A104" s="26">
        <f t="shared" si="5"/>
      </c>
    </row>
    <row r="105" ht="12.75">
      <c r="A105" s="26">
        <f t="shared" si="5"/>
      </c>
    </row>
    <row r="106" ht="12.75">
      <c r="A106" s="26">
        <f t="shared" si="5"/>
      </c>
    </row>
    <row r="107" ht="12.75">
      <c r="A107" s="26">
        <f t="shared" si="5"/>
      </c>
    </row>
    <row r="108" ht="12.75">
      <c r="A108" s="26">
        <f t="shared" si="5"/>
      </c>
    </row>
    <row r="109" ht="12.75">
      <c r="A109" s="26">
        <f t="shared" si="5"/>
      </c>
    </row>
    <row r="110" ht="12.75">
      <c r="A110" s="26">
        <f t="shared" si="5"/>
      </c>
    </row>
    <row r="111" ht="12.75">
      <c r="A111" s="26">
        <f t="shared" si="5"/>
      </c>
    </row>
    <row r="112" ht="12.75">
      <c r="A112" s="26">
        <f t="shared" si="5"/>
      </c>
    </row>
    <row r="113" ht="12.75">
      <c r="A113" s="26">
        <f t="shared" si="5"/>
      </c>
    </row>
    <row r="114" ht="12.75">
      <c r="A114" s="26">
        <f t="shared" si="5"/>
      </c>
    </row>
    <row r="115" ht="12.75">
      <c r="A115" s="26">
        <f t="shared" si="5"/>
      </c>
    </row>
    <row r="116" ht="12.75">
      <c r="A116" s="26">
        <f t="shared" si="5"/>
      </c>
    </row>
    <row r="117" ht="12.75">
      <c r="A117" s="26">
        <f t="shared" si="5"/>
      </c>
    </row>
    <row r="118" ht="12.75">
      <c r="A118" s="26">
        <f t="shared" si="5"/>
      </c>
    </row>
    <row r="119" ht="12.75">
      <c r="A119" s="26">
        <f t="shared" si="5"/>
      </c>
    </row>
    <row r="120" ht="12.75">
      <c r="A120" s="26">
        <f t="shared" si="5"/>
      </c>
    </row>
    <row r="121" ht="12.75">
      <c r="A121" s="26">
        <f t="shared" si="5"/>
      </c>
    </row>
    <row r="122" ht="12.75">
      <c r="A122" s="26">
        <f t="shared" si="5"/>
      </c>
    </row>
    <row r="123" ht="12.75">
      <c r="A123" s="26">
        <f t="shared" si="5"/>
      </c>
    </row>
    <row r="124" ht="12.75">
      <c r="A124" s="26">
        <f t="shared" si="5"/>
      </c>
    </row>
    <row r="125" ht="12.75">
      <c r="A125" s="26">
        <f t="shared" si="5"/>
      </c>
    </row>
    <row r="126" ht="12.75">
      <c r="A126" s="26">
        <f t="shared" si="5"/>
      </c>
    </row>
    <row r="127" ht="12.75">
      <c r="A127" s="26">
        <f t="shared" si="5"/>
      </c>
    </row>
    <row r="128" ht="12.75">
      <c r="A128" s="26">
        <f t="shared" si="5"/>
      </c>
    </row>
    <row r="129" ht="12.75">
      <c r="A129" s="26">
        <f t="shared" si="5"/>
      </c>
    </row>
    <row r="130" ht="12.75">
      <c r="A130" s="26">
        <f t="shared" si="5"/>
      </c>
    </row>
    <row r="131" ht="12.75">
      <c r="A131" s="26">
        <f>IF(B131=0,"",ROW(A129))</f>
      </c>
    </row>
    <row r="132" ht="12.75">
      <c r="A132" s="26">
        <f>IF(B132=0,"",ROW(A130))</f>
      </c>
    </row>
    <row r="133" ht="12.75">
      <c r="A133" s="26">
        <f>IF(B133=0,"",ROW(A131))</f>
      </c>
    </row>
    <row r="134" ht="12.75">
      <c r="A134" s="26">
        <f>IF(B134=0,"",ROW(A132))</f>
      </c>
    </row>
    <row r="135" ht="12.75">
      <c r="A135" s="26">
        <f>IF(B135=0,"",ROW(A133))</f>
      </c>
    </row>
  </sheetData>
  <autoFilter ref="A1:N135"/>
  <conditionalFormatting sqref="H1:H24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6"/>
  <sheetViews>
    <sheetView zoomScale="75" zoomScaleNormal="75" workbookViewId="0" topLeftCell="A1">
      <pane xSplit="1" ySplit="2" topLeftCell="B2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0" sqref="I50"/>
    </sheetView>
  </sheetViews>
  <sheetFormatPr defaultColWidth="9.140625" defaultRowHeight="12.75"/>
  <cols>
    <col min="1" max="1" width="6.8515625" style="26" bestFit="1" customWidth="1"/>
    <col min="2" max="2" width="11.140625" style="84" bestFit="1" customWidth="1"/>
    <col min="3" max="3" width="12.8515625" style="0" bestFit="1" customWidth="1"/>
    <col min="4" max="5" width="12.8515625" style="0" customWidth="1"/>
    <col min="7" max="7" width="11.421875" style="15" bestFit="1" customWidth="1"/>
    <col min="8" max="8" width="10.00390625" style="0" bestFit="1" customWidth="1"/>
    <col min="9" max="9" width="14.00390625" style="4" bestFit="1" customWidth="1"/>
    <col min="10" max="10" width="7.57421875" style="13" bestFit="1" customWidth="1"/>
    <col min="11" max="11" width="22.28125" style="0" bestFit="1" customWidth="1"/>
    <col min="12" max="12" width="13.8515625" style="0" bestFit="1" customWidth="1"/>
    <col min="14" max="14" width="12.140625" style="0" bestFit="1" customWidth="1"/>
  </cols>
  <sheetData>
    <row r="1" spans="1:13" ht="12.75">
      <c r="A1" s="25" t="s">
        <v>4</v>
      </c>
      <c r="B1" s="83" t="s">
        <v>10</v>
      </c>
      <c r="C1" s="1" t="s">
        <v>11</v>
      </c>
      <c r="D1" s="1" t="s">
        <v>147</v>
      </c>
      <c r="E1" s="1" t="s">
        <v>468</v>
      </c>
      <c r="F1" s="2" t="s">
        <v>0</v>
      </c>
      <c r="G1" s="17" t="s">
        <v>14</v>
      </c>
      <c r="H1" s="1" t="s">
        <v>15</v>
      </c>
      <c r="I1" s="11" t="s">
        <v>9</v>
      </c>
      <c r="J1" s="12" t="s">
        <v>54</v>
      </c>
      <c r="K1" s="1" t="s">
        <v>12</v>
      </c>
      <c r="L1" s="1" t="s">
        <v>20</v>
      </c>
      <c r="M1" s="1" t="s">
        <v>187</v>
      </c>
    </row>
    <row r="2" spans="1:10" ht="12.75">
      <c r="A2" s="25"/>
      <c r="G2" s="15" t="s">
        <v>59</v>
      </c>
      <c r="H2" s="1"/>
      <c r="J2" s="13" t="s">
        <v>58</v>
      </c>
    </row>
    <row r="3" spans="1:14" ht="12.75">
      <c r="A3">
        <f aca="true" t="shared" si="0" ref="A3:A66">IF(B3=0,"",ROW(A1))</f>
        <v>1</v>
      </c>
      <c r="B3" s="85">
        <v>31688</v>
      </c>
      <c r="C3" s="18" t="s">
        <v>13</v>
      </c>
      <c r="D3" s="18"/>
      <c r="E3" s="16" t="s">
        <v>472</v>
      </c>
      <c r="F3" s="18" t="s">
        <v>50</v>
      </c>
      <c r="G3" s="19">
        <v>3</v>
      </c>
      <c r="H3" s="18"/>
      <c r="I3" s="20">
        <v>0.008171296296296296</v>
      </c>
      <c r="J3" s="21">
        <f aca="true" t="shared" si="1" ref="J3:J35">(G3)/((I3-INT(I3))*24)</f>
        <v>15.297450424929178</v>
      </c>
      <c r="K3" s="18"/>
      <c r="L3" s="18"/>
      <c r="M3" s="18"/>
      <c r="N3" s="13"/>
    </row>
    <row r="4" spans="1:13" ht="12.75">
      <c r="A4">
        <f t="shared" si="0"/>
        <v>2</v>
      </c>
      <c r="B4" s="85">
        <v>32052</v>
      </c>
      <c r="C4" s="18" t="s">
        <v>13</v>
      </c>
      <c r="D4" s="18"/>
      <c r="E4" s="16" t="s">
        <v>472</v>
      </c>
      <c r="F4" s="18" t="s">
        <v>50</v>
      </c>
      <c r="G4" s="19">
        <v>4.5</v>
      </c>
      <c r="H4" s="18"/>
      <c r="I4" s="20">
        <v>0.012349537037037039</v>
      </c>
      <c r="J4" s="21">
        <f t="shared" si="1"/>
        <v>15.182755388940954</v>
      </c>
      <c r="K4" s="18"/>
      <c r="L4" s="18"/>
      <c r="M4" s="18"/>
    </row>
    <row r="5" spans="1:13" ht="12.75">
      <c r="A5">
        <f t="shared" si="0"/>
        <v>3</v>
      </c>
      <c r="B5" s="85">
        <v>32112</v>
      </c>
      <c r="C5" s="18" t="s">
        <v>51</v>
      </c>
      <c r="D5" s="18"/>
      <c r="E5" s="16" t="s">
        <v>472</v>
      </c>
      <c r="F5" s="18" t="s">
        <v>52</v>
      </c>
      <c r="G5" s="19">
        <v>5</v>
      </c>
      <c r="H5" s="18"/>
      <c r="I5" s="20">
        <v>0.014259259259259261</v>
      </c>
      <c r="J5" s="21">
        <f t="shared" si="1"/>
        <v>14.610389610389609</v>
      </c>
      <c r="K5" s="18" t="s">
        <v>53</v>
      </c>
      <c r="L5" s="18"/>
      <c r="M5" s="18"/>
    </row>
    <row r="6" spans="1:13" ht="12.75">
      <c r="A6">
        <f t="shared" si="0"/>
        <v>4</v>
      </c>
      <c r="B6" s="85">
        <v>32810</v>
      </c>
      <c r="C6" s="18" t="s">
        <v>55</v>
      </c>
      <c r="D6" s="18"/>
      <c r="E6" s="16" t="s">
        <v>472</v>
      </c>
      <c r="F6" s="18" t="s">
        <v>52</v>
      </c>
      <c r="G6" s="19">
        <v>9.6</v>
      </c>
      <c r="H6" s="18"/>
      <c r="I6" s="20">
        <v>0.024699074074074078</v>
      </c>
      <c r="J6" s="21">
        <f t="shared" si="1"/>
        <v>16.19493908153702</v>
      </c>
      <c r="K6" s="18"/>
      <c r="L6" s="18"/>
      <c r="M6" s="18"/>
    </row>
    <row r="7" spans="1:13" ht="12.75">
      <c r="A7">
        <f t="shared" si="0"/>
        <v>5</v>
      </c>
      <c r="B7" s="85">
        <v>32887</v>
      </c>
      <c r="C7" s="18" t="s">
        <v>65</v>
      </c>
      <c r="D7" s="18"/>
      <c r="E7" s="16" t="s">
        <v>472</v>
      </c>
      <c r="F7" s="18" t="s">
        <v>52</v>
      </c>
      <c r="G7" s="19">
        <v>11</v>
      </c>
      <c r="H7" s="18"/>
      <c r="I7" s="20">
        <v>0.029247685185185186</v>
      </c>
      <c r="J7" s="21">
        <f t="shared" si="1"/>
        <v>15.670755836960822</v>
      </c>
      <c r="K7" s="18" t="s">
        <v>75</v>
      </c>
      <c r="L7" s="18"/>
      <c r="M7" s="18"/>
    </row>
    <row r="8" spans="1:13" ht="12.75">
      <c r="A8">
        <f t="shared" si="0"/>
        <v>6</v>
      </c>
      <c r="B8" s="85">
        <v>33244</v>
      </c>
      <c r="C8" s="18" t="s">
        <v>65</v>
      </c>
      <c r="D8" s="18"/>
      <c r="E8" s="16" t="s">
        <v>472</v>
      </c>
      <c r="F8" s="18" t="s">
        <v>52</v>
      </c>
      <c r="G8" s="19">
        <v>10.9</v>
      </c>
      <c r="H8" s="18"/>
      <c r="I8" s="20">
        <v>0.028935185185185185</v>
      </c>
      <c r="J8" s="21">
        <f t="shared" si="1"/>
        <v>15.696000000000002</v>
      </c>
      <c r="K8" s="18" t="s">
        <v>75</v>
      </c>
      <c r="L8" s="18"/>
      <c r="M8" s="18"/>
    </row>
    <row r="9" spans="1:13" ht="12.75">
      <c r="A9">
        <f t="shared" si="0"/>
        <v>7</v>
      </c>
      <c r="B9" s="85">
        <v>33271</v>
      </c>
      <c r="C9" s="18" t="s">
        <v>57</v>
      </c>
      <c r="D9" s="18"/>
      <c r="E9" s="16" t="s">
        <v>472</v>
      </c>
      <c r="F9" s="18" t="s">
        <v>52</v>
      </c>
      <c r="G9" s="19">
        <v>18.6</v>
      </c>
      <c r="H9" s="18">
        <v>231</v>
      </c>
      <c r="I9" s="20">
        <v>0.049976851851851856</v>
      </c>
      <c r="J9" s="21">
        <f t="shared" si="1"/>
        <v>15.507179249652618</v>
      </c>
      <c r="K9" s="18" t="s">
        <v>165</v>
      </c>
      <c r="L9" s="18"/>
      <c r="M9" s="18"/>
    </row>
    <row r="10" spans="1:13" ht="12.75">
      <c r="A10">
        <f t="shared" si="0"/>
        <v>8</v>
      </c>
      <c r="B10" s="85">
        <v>33299</v>
      </c>
      <c r="C10" s="18" t="s">
        <v>71</v>
      </c>
      <c r="D10" s="18"/>
      <c r="E10" s="16" t="s">
        <v>472</v>
      </c>
      <c r="F10" s="18" t="s">
        <v>52</v>
      </c>
      <c r="G10" s="19">
        <v>16.09</v>
      </c>
      <c r="H10" s="18"/>
      <c r="I10" s="20">
        <v>0.04163194444444445</v>
      </c>
      <c r="J10" s="21">
        <f t="shared" si="1"/>
        <v>16.10341951626355</v>
      </c>
      <c r="K10" s="18"/>
      <c r="L10" s="18"/>
      <c r="M10" s="18"/>
    </row>
    <row r="11" spans="1:13" ht="12.75">
      <c r="A11">
        <f t="shared" si="0"/>
        <v>9</v>
      </c>
      <c r="B11" s="85">
        <v>33335</v>
      </c>
      <c r="C11" s="18" t="s">
        <v>57</v>
      </c>
      <c r="D11" s="18"/>
      <c r="E11" s="16" t="s">
        <v>472</v>
      </c>
      <c r="F11" s="18" t="s">
        <v>52</v>
      </c>
      <c r="G11" s="19">
        <v>10</v>
      </c>
      <c r="H11" s="18"/>
      <c r="I11" s="20">
        <v>0.025069444444444446</v>
      </c>
      <c r="J11" s="21">
        <f t="shared" si="1"/>
        <v>16.62049861495845</v>
      </c>
      <c r="K11" s="16" t="s">
        <v>576</v>
      </c>
      <c r="L11" s="18"/>
      <c r="M11" s="18"/>
    </row>
    <row r="12" spans="1:13" ht="12.75">
      <c r="A12">
        <f t="shared" si="0"/>
        <v>10</v>
      </c>
      <c r="B12" s="85">
        <v>33342</v>
      </c>
      <c r="C12" s="18" t="s">
        <v>25</v>
      </c>
      <c r="D12" s="18"/>
      <c r="E12" s="16" t="s">
        <v>472</v>
      </c>
      <c r="F12" s="18" t="s">
        <v>52</v>
      </c>
      <c r="G12" s="19">
        <v>15</v>
      </c>
      <c r="H12" s="18"/>
      <c r="I12" s="20">
        <v>0.03892361111111111</v>
      </c>
      <c r="J12" s="21">
        <f t="shared" si="1"/>
        <v>16.057091882247995</v>
      </c>
      <c r="K12" s="18" t="s">
        <v>79</v>
      </c>
      <c r="L12" s="18"/>
      <c r="M12" s="18"/>
    </row>
    <row r="13" spans="1:13" ht="12.75">
      <c r="A13">
        <f t="shared" si="0"/>
        <v>11</v>
      </c>
      <c r="B13" s="85">
        <v>33355</v>
      </c>
      <c r="C13" s="18" t="s">
        <v>80</v>
      </c>
      <c r="D13" s="18"/>
      <c r="E13" s="16" t="s">
        <v>472</v>
      </c>
      <c r="F13" s="18" t="s">
        <v>52</v>
      </c>
      <c r="G13" s="19">
        <v>7.2</v>
      </c>
      <c r="H13" s="18">
        <v>5</v>
      </c>
      <c r="I13" s="20">
        <v>0.017106481481481483</v>
      </c>
      <c r="J13" s="21">
        <f t="shared" si="1"/>
        <v>17.53721244925575</v>
      </c>
      <c r="K13" s="18"/>
      <c r="L13" s="18"/>
      <c r="M13" s="18"/>
    </row>
    <row r="14" spans="1:13" ht="12.75">
      <c r="A14">
        <f t="shared" si="0"/>
        <v>12</v>
      </c>
      <c r="B14" s="85">
        <v>33366</v>
      </c>
      <c r="C14" s="18" t="s">
        <v>51</v>
      </c>
      <c r="D14" s="18"/>
      <c r="E14" s="16" t="s">
        <v>472</v>
      </c>
      <c r="F14" s="18" t="s">
        <v>70</v>
      </c>
      <c r="G14" s="19">
        <v>5</v>
      </c>
      <c r="H14" s="18"/>
      <c r="I14" s="20">
        <v>0.01175925925925926</v>
      </c>
      <c r="J14" s="21">
        <f t="shared" si="1"/>
        <v>17.716535433070867</v>
      </c>
      <c r="K14" s="18"/>
      <c r="L14" s="18"/>
      <c r="M14" s="18"/>
    </row>
    <row r="15" spans="1:13" ht="12.75">
      <c r="A15">
        <f t="shared" si="0"/>
        <v>13</v>
      </c>
      <c r="B15" s="85">
        <v>33402</v>
      </c>
      <c r="C15" s="18" t="s">
        <v>51</v>
      </c>
      <c r="D15" s="18"/>
      <c r="E15" s="16" t="s">
        <v>472</v>
      </c>
      <c r="F15" s="18" t="s">
        <v>70</v>
      </c>
      <c r="G15" s="19">
        <v>10</v>
      </c>
      <c r="H15" s="18"/>
      <c r="I15" s="20">
        <v>0.024719907407407402</v>
      </c>
      <c r="J15" s="21">
        <f t="shared" si="1"/>
        <v>16.855510815619443</v>
      </c>
      <c r="K15" s="18"/>
      <c r="L15" s="18"/>
      <c r="M15" s="18"/>
    </row>
    <row r="16" spans="1:13" ht="12.75">
      <c r="A16">
        <f t="shared" si="0"/>
        <v>14</v>
      </c>
      <c r="B16" s="85">
        <v>33457</v>
      </c>
      <c r="C16" s="18" t="s">
        <v>66</v>
      </c>
      <c r="D16" s="18"/>
      <c r="E16" s="16" t="s">
        <v>472</v>
      </c>
      <c r="F16" s="18" t="s">
        <v>52</v>
      </c>
      <c r="G16" s="19">
        <v>21.1</v>
      </c>
      <c r="H16" s="18">
        <v>9</v>
      </c>
      <c r="I16" s="20">
        <v>0.05758101851851852</v>
      </c>
      <c r="J16" s="21">
        <f t="shared" si="1"/>
        <v>15.268341708542716</v>
      </c>
      <c r="K16" s="18"/>
      <c r="L16" s="18"/>
      <c r="M16" s="18"/>
    </row>
    <row r="17" spans="1:13" ht="12.75">
      <c r="A17">
        <f t="shared" si="0"/>
        <v>15</v>
      </c>
      <c r="B17" s="85">
        <v>33502</v>
      </c>
      <c r="C17" s="18" t="s">
        <v>68</v>
      </c>
      <c r="D17" s="18"/>
      <c r="E17" s="16" t="s">
        <v>472</v>
      </c>
      <c r="F17" s="18" t="s">
        <v>70</v>
      </c>
      <c r="G17" s="19">
        <v>5</v>
      </c>
      <c r="H17" s="18"/>
      <c r="I17" s="20">
        <v>0.011655092592592594</v>
      </c>
      <c r="J17" s="21">
        <f t="shared" si="1"/>
        <v>17.874875868917574</v>
      </c>
      <c r="K17" s="18"/>
      <c r="L17" s="18"/>
      <c r="M17" s="18"/>
    </row>
    <row r="18" spans="1:13" ht="12.75">
      <c r="A18">
        <f t="shared" si="0"/>
        <v>16</v>
      </c>
      <c r="B18" s="85">
        <v>33545</v>
      </c>
      <c r="C18" s="18" t="s">
        <v>88</v>
      </c>
      <c r="D18" s="18"/>
      <c r="E18" s="16" t="s">
        <v>472</v>
      </c>
      <c r="F18" s="18" t="s">
        <v>50</v>
      </c>
      <c r="G18" s="19">
        <v>8.4</v>
      </c>
      <c r="H18" s="18">
        <v>9</v>
      </c>
      <c r="I18" s="20">
        <v>0.020752314814814814</v>
      </c>
      <c r="J18" s="21">
        <f t="shared" si="1"/>
        <v>16.865588399330733</v>
      </c>
      <c r="K18" s="18"/>
      <c r="L18" s="18"/>
      <c r="M18" s="18"/>
    </row>
    <row r="19" spans="1:13" ht="12.75">
      <c r="A19">
        <f t="shared" si="0"/>
        <v>17</v>
      </c>
      <c r="B19" s="85">
        <v>33552</v>
      </c>
      <c r="C19" s="18" t="s">
        <v>13</v>
      </c>
      <c r="D19" s="18"/>
      <c r="E19" s="16" t="s">
        <v>472</v>
      </c>
      <c r="F19" s="18" t="s">
        <v>52</v>
      </c>
      <c r="G19" s="19">
        <v>21.1</v>
      </c>
      <c r="H19" s="18">
        <v>15</v>
      </c>
      <c r="I19" s="20">
        <v>0.052800925925925925</v>
      </c>
      <c r="J19" s="21">
        <f t="shared" si="1"/>
        <v>16.65059184568172</v>
      </c>
      <c r="K19" s="18"/>
      <c r="L19" s="18"/>
      <c r="M19" s="18"/>
    </row>
    <row r="20" spans="1:13" ht="12.75">
      <c r="A20">
        <f t="shared" si="0"/>
        <v>18</v>
      </c>
      <c r="B20" s="85">
        <v>33598</v>
      </c>
      <c r="C20" s="18" t="s">
        <v>23</v>
      </c>
      <c r="D20" s="18"/>
      <c r="E20" s="16" t="s">
        <v>472</v>
      </c>
      <c r="F20" s="18" t="s">
        <v>52</v>
      </c>
      <c r="G20" s="19">
        <v>5</v>
      </c>
      <c r="H20" s="18">
        <v>2</v>
      </c>
      <c r="I20" s="20">
        <v>0.011793981481481482</v>
      </c>
      <c r="J20" s="21">
        <f t="shared" si="1"/>
        <v>17.664376840039253</v>
      </c>
      <c r="K20" s="18" t="s">
        <v>73</v>
      </c>
      <c r="L20" s="18"/>
      <c r="M20" s="18"/>
    </row>
    <row r="21" spans="1:13" ht="12.75">
      <c r="A21">
        <f t="shared" si="0"/>
        <v>19</v>
      </c>
      <c r="B21" s="85">
        <v>33600</v>
      </c>
      <c r="C21" s="18" t="s">
        <v>72</v>
      </c>
      <c r="D21" s="18"/>
      <c r="E21" s="16" t="s">
        <v>472</v>
      </c>
      <c r="F21" s="18" t="s">
        <v>50</v>
      </c>
      <c r="G21" s="19">
        <v>5</v>
      </c>
      <c r="H21" s="18">
        <v>2</v>
      </c>
      <c r="I21" s="20">
        <v>0.011631944444444445</v>
      </c>
      <c r="J21" s="21">
        <f t="shared" si="1"/>
        <v>17.91044776119403</v>
      </c>
      <c r="K21" s="18"/>
      <c r="L21" s="18"/>
      <c r="M21" s="18"/>
    </row>
    <row r="22" spans="1:13" ht="12.75">
      <c r="A22">
        <f t="shared" si="0"/>
        <v>20</v>
      </c>
      <c r="B22" s="85">
        <v>33639</v>
      </c>
      <c r="C22" s="16" t="s">
        <v>51</v>
      </c>
      <c r="D22" s="16"/>
      <c r="E22" s="16" t="s">
        <v>472</v>
      </c>
      <c r="F22" s="16" t="s">
        <v>70</v>
      </c>
      <c r="G22" s="19">
        <v>5</v>
      </c>
      <c r="H22" s="18"/>
      <c r="I22" s="20">
        <v>0.011724537037037035</v>
      </c>
      <c r="J22" s="21">
        <f t="shared" si="1"/>
        <v>17.769002961500497</v>
      </c>
      <c r="K22" s="18"/>
      <c r="L22" s="18"/>
      <c r="M22" s="18"/>
    </row>
    <row r="23" spans="1:13" ht="12.75">
      <c r="A23">
        <f t="shared" si="0"/>
        <v>21</v>
      </c>
      <c r="B23" s="85">
        <v>33649</v>
      </c>
      <c r="C23" s="16" t="s">
        <v>111</v>
      </c>
      <c r="D23" s="16"/>
      <c r="E23" s="16" t="s">
        <v>472</v>
      </c>
      <c r="F23" s="16" t="s">
        <v>50</v>
      </c>
      <c r="G23" s="19">
        <v>9.1</v>
      </c>
      <c r="H23" s="18">
        <v>12</v>
      </c>
      <c r="I23" s="20">
        <v>0.0253125</v>
      </c>
      <c r="J23" s="21">
        <f t="shared" si="1"/>
        <v>14.979423868312756</v>
      </c>
      <c r="K23" s="18"/>
      <c r="L23" s="18"/>
      <c r="M23" s="18"/>
    </row>
    <row r="24" spans="1:13" ht="12.75">
      <c r="A24">
        <f t="shared" si="0"/>
        <v>22</v>
      </c>
      <c r="B24" s="85">
        <v>33719</v>
      </c>
      <c r="C24" s="16" t="s">
        <v>80</v>
      </c>
      <c r="D24" s="16"/>
      <c r="E24" s="16" t="s">
        <v>472</v>
      </c>
      <c r="F24" s="16" t="s">
        <v>52</v>
      </c>
      <c r="G24" s="19">
        <v>7.2</v>
      </c>
      <c r="H24" s="18">
        <v>17</v>
      </c>
      <c r="I24" s="20">
        <v>0.018032407407407407</v>
      </c>
      <c r="J24" s="21">
        <f t="shared" si="1"/>
        <v>16.63671373555841</v>
      </c>
      <c r="K24" s="18"/>
      <c r="L24" s="18"/>
      <c r="M24" s="18"/>
    </row>
    <row r="25" spans="1:13" ht="12.75">
      <c r="A25">
        <f t="shared" si="0"/>
        <v>23</v>
      </c>
      <c r="B25" s="85">
        <v>33730</v>
      </c>
      <c r="C25" s="16" t="s">
        <v>51</v>
      </c>
      <c r="D25" s="16"/>
      <c r="E25" s="16" t="s">
        <v>472</v>
      </c>
      <c r="F25" s="16" t="s">
        <v>70</v>
      </c>
      <c r="G25" s="19">
        <v>5</v>
      </c>
      <c r="H25" s="18"/>
      <c r="I25" s="20">
        <v>0.011516203703703702</v>
      </c>
      <c r="J25" s="21">
        <f t="shared" si="1"/>
        <v>18.090452261306535</v>
      </c>
      <c r="K25" s="18"/>
      <c r="L25" s="18"/>
      <c r="M25" s="18"/>
    </row>
    <row r="26" spans="1:13" ht="12.75">
      <c r="A26">
        <f t="shared" si="0"/>
        <v>24</v>
      </c>
      <c r="B26" s="85">
        <v>33746</v>
      </c>
      <c r="C26" s="16" t="s">
        <v>113</v>
      </c>
      <c r="D26" s="16"/>
      <c r="E26" s="16" t="s">
        <v>472</v>
      </c>
      <c r="F26" s="16" t="s">
        <v>52</v>
      </c>
      <c r="G26" s="19">
        <v>5</v>
      </c>
      <c r="H26" s="18">
        <v>4</v>
      </c>
      <c r="I26" s="20">
        <v>0.011354166666666667</v>
      </c>
      <c r="J26" s="21">
        <f t="shared" si="1"/>
        <v>18.34862385321101</v>
      </c>
      <c r="K26" s="18"/>
      <c r="L26" s="18"/>
      <c r="M26" s="18"/>
    </row>
    <row r="27" spans="1:13" ht="12.75">
      <c r="A27">
        <f t="shared" si="0"/>
        <v>25</v>
      </c>
      <c r="B27" s="85">
        <v>33758</v>
      </c>
      <c r="C27" s="16" t="s">
        <v>115</v>
      </c>
      <c r="D27" s="16"/>
      <c r="E27" s="16" t="s">
        <v>472</v>
      </c>
      <c r="F27" s="16" t="s">
        <v>52</v>
      </c>
      <c r="G27" s="19">
        <v>10</v>
      </c>
      <c r="H27" s="18">
        <v>7</v>
      </c>
      <c r="I27" s="20">
        <v>0.023506944444444445</v>
      </c>
      <c r="J27" s="21">
        <f t="shared" si="1"/>
        <v>17.725258493353028</v>
      </c>
      <c r="K27" s="18"/>
      <c r="L27" s="18"/>
      <c r="M27" s="18"/>
    </row>
    <row r="28" spans="1:13" ht="12.75">
      <c r="A28">
        <f t="shared" si="0"/>
        <v>26</v>
      </c>
      <c r="B28" s="85">
        <v>33813</v>
      </c>
      <c r="C28" s="16" t="s">
        <v>22</v>
      </c>
      <c r="D28" s="16"/>
      <c r="E28" s="16" t="s">
        <v>472</v>
      </c>
      <c r="F28" s="16" t="s">
        <v>50</v>
      </c>
      <c r="G28" s="19">
        <v>6.3</v>
      </c>
      <c r="H28" s="18">
        <v>4</v>
      </c>
      <c r="I28" s="20">
        <v>0.015023148148148148</v>
      </c>
      <c r="J28" s="21">
        <f t="shared" si="1"/>
        <v>17.47303543913713</v>
      </c>
      <c r="K28" s="18"/>
      <c r="L28" s="18"/>
      <c r="M28" s="18"/>
    </row>
    <row r="29" spans="1:13" ht="12.75">
      <c r="A29">
        <f t="shared" si="0"/>
        <v>27</v>
      </c>
      <c r="B29" s="85">
        <v>33824</v>
      </c>
      <c r="C29" s="16" t="s">
        <v>106</v>
      </c>
      <c r="D29" s="16"/>
      <c r="E29" s="16" t="s">
        <v>472</v>
      </c>
      <c r="F29" s="16" t="s">
        <v>52</v>
      </c>
      <c r="G29" s="19">
        <v>11</v>
      </c>
      <c r="H29" s="18">
        <v>6</v>
      </c>
      <c r="I29" s="20">
        <v>0.0305787037037037</v>
      </c>
      <c r="J29" s="21">
        <f>(G29)/((I29-INT(I29))*24)</f>
        <v>14.988644965934899</v>
      </c>
      <c r="K29" s="18"/>
      <c r="L29" s="18"/>
      <c r="M29" s="18"/>
    </row>
    <row r="30" spans="1:13" ht="12.75">
      <c r="A30">
        <f t="shared" si="0"/>
        <v>28</v>
      </c>
      <c r="B30" s="85">
        <v>33834</v>
      </c>
      <c r="C30" s="16" t="s">
        <v>25</v>
      </c>
      <c r="D30" s="16"/>
      <c r="E30" s="16" t="s">
        <v>472</v>
      </c>
      <c r="F30" s="16" t="s">
        <v>52</v>
      </c>
      <c r="G30" s="19">
        <v>9.3</v>
      </c>
      <c r="H30" s="18"/>
      <c r="I30" s="20">
        <v>0.022141203703703705</v>
      </c>
      <c r="J30" s="21">
        <f>(G30)/((I30-INT(I30))*24)</f>
        <v>17.50130684788291</v>
      </c>
      <c r="K30" s="18" t="s">
        <v>132</v>
      </c>
      <c r="L30" s="18"/>
      <c r="M30" s="18"/>
    </row>
    <row r="31" spans="1:13" ht="12.75">
      <c r="A31">
        <f t="shared" si="0"/>
        <v>29</v>
      </c>
      <c r="B31" s="85">
        <v>33908</v>
      </c>
      <c r="C31" s="16" t="s">
        <v>38</v>
      </c>
      <c r="D31" s="16"/>
      <c r="E31" s="16" t="s">
        <v>472</v>
      </c>
      <c r="F31" s="16" t="s">
        <v>52</v>
      </c>
      <c r="G31" s="19">
        <v>16.1</v>
      </c>
      <c r="H31" s="18"/>
      <c r="I31" s="20">
        <v>0.03923611111111111</v>
      </c>
      <c r="J31" s="21">
        <f>(G31)/((I31-INT(I31))*24)</f>
        <v>17.097345132743364</v>
      </c>
      <c r="K31" s="18" t="s">
        <v>121</v>
      </c>
      <c r="L31" s="18"/>
      <c r="M31" s="18"/>
    </row>
    <row r="32" spans="1:13" ht="12.75">
      <c r="A32">
        <f t="shared" si="0"/>
        <v>30</v>
      </c>
      <c r="B32" s="85">
        <v>33916</v>
      </c>
      <c r="C32" s="16" t="s">
        <v>13</v>
      </c>
      <c r="D32" s="16"/>
      <c r="E32" s="16" t="s">
        <v>472</v>
      </c>
      <c r="F32" s="16" t="s">
        <v>52</v>
      </c>
      <c r="G32" s="19">
        <v>21.1</v>
      </c>
      <c r="H32" s="18">
        <v>20</v>
      </c>
      <c r="I32" s="20">
        <v>0.05465277777777777</v>
      </c>
      <c r="J32" s="21">
        <f t="shared" si="1"/>
        <v>16.0864040660737</v>
      </c>
      <c r="K32" s="18"/>
      <c r="L32" s="18"/>
      <c r="M32" s="18"/>
    </row>
    <row r="33" spans="1:13" ht="12.75">
      <c r="A33">
        <f t="shared" si="0"/>
        <v>31</v>
      </c>
      <c r="B33" s="85">
        <v>33923</v>
      </c>
      <c r="C33" s="16" t="s">
        <v>122</v>
      </c>
      <c r="D33" s="16"/>
      <c r="E33" s="16" t="s">
        <v>472</v>
      </c>
      <c r="F33" s="16" t="s">
        <v>52</v>
      </c>
      <c r="G33" s="19">
        <v>15</v>
      </c>
      <c r="H33" s="18"/>
      <c r="I33" s="20">
        <v>0.04120370370370371</v>
      </c>
      <c r="J33" s="21">
        <f t="shared" si="1"/>
        <v>15.168539325842696</v>
      </c>
      <c r="K33" s="18" t="s">
        <v>123</v>
      </c>
      <c r="L33" s="18"/>
      <c r="M33" s="18"/>
    </row>
    <row r="34" spans="1:13" ht="12.75">
      <c r="A34">
        <f t="shared" si="0"/>
        <v>32</v>
      </c>
      <c r="B34" s="85">
        <v>33955</v>
      </c>
      <c r="C34" s="16" t="s">
        <v>25</v>
      </c>
      <c r="D34" s="16"/>
      <c r="E34" s="16" t="s">
        <v>472</v>
      </c>
      <c r="F34" s="16" t="s">
        <v>50</v>
      </c>
      <c r="G34" s="19">
        <v>7.5</v>
      </c>
      <c r="H34" s="18"/>
      <c r="I34" s="20">
        <v>0.02037037037037037</v>
      </c>
      <c r="J34" s="21">
        <f t="shared" si="1"/>
        <v>15.340909090909093</v>
      </c>
      <c r="K34" s="18" t="s">
        <v>124</v>
      </c>
      <c r="L34" s="18"/>
      <c r="M34" s="18"/>
    </row>
    <row r="35" spans="1:13" ht="12.75">
      <c r="A35">
        <f t="shared" si="0"/>
        <v>33</v>
      </c>
      <c r="B35" s="85">
        <v>33969</v>
      </c>
      <c r="C35" s="16" t="s">
        <v>107</v>
      </c>
      <c r="D35" s="16"/>
      <c r="E35" s="16" t="s">
        <v>472</v>
      </c>
      <c r="F35" s="16" t="s">
        <v>52</v>
      </c>
      <c r="G35" s="19">
        <v>10</v>
      </c>
      <c r="H35" s="16">
        <v>6</v>
      </c>
      <c r="I35" s="20">
        <v>0.02394675925925926</v>
      </c>
      <c r="J35" s="21">
        <f t="shared" si="1"/>
        <v>17.399710004833253</v>
      </c>
      <c r="K35" s="18" t="s">
        <v>108</v>
      </c>
      <c r="L35" s="18"/>
      <c r="M35" s="18"/>
    </row>
    <row r="36" spans="1:13" ht="12.75">
      <c r="A36">
        <f t="shared" si="0"/>
        <v>34</v>
      </c>
      <c r="B36" s="85">
        <v>33993</v>
      </c>
      <c r="C36" s="16" t="s">
        <v>122</v>
      </c>
      <c r="D36" s="16"/>
      <c r="E36" s="16" t="s">
        <v>472</v>
      </c>
      <c r="F36" s="16" t="s">
        <v>50</v>
      </c>
      <c r="G36" s="19">
        <v>9</v>
      </c>
      <c r="H36" s="18"/>
      <c r="I36" s="20">
        <v>0.02525462962962963</v>
      </c>
      <c r="J36" s="21">
        <f aca="true" t="shared" si="2" ref="J36:J123">(G36)/((I36-INT(I36))*24)</f>
        <v>14.848762603116406</v>
      </c>
      <c r="K36" s="16" t="s">
        <v>125</v>
      </c>
      <c r="L36" s="18"/>
      <c r="M36" s="18"/>
    </row>
    <row r="37" spans="1:13" ht="12.75">
      <c r="A37">
        <f t="shared" si="0"/>
        <v>35</v>
      </c>
      <c r="B37" s="85">
        <v>33997</v>
      </c>
      <c r="C37" s="16" t="s">
        <v>51</v>
      </c>
      <c r="D37" s="16"/>
      <c r="E37" s="16" t="s">
        <v>472</v>
      </c>
      <c r="F37" s="16" t="s">
        <v>70</v>
      </c>
      <c r="G37" s="19">
        <v>3</v>
      </c>
      <c r="H37" s="18"/>
      <c r="I37" s="20">
        <v>0.006805555555555557</v>
      </c>
      <c r="J37" s="21">
        <f t="shared" si="2"/>
        <v>18.36734693877551</v>
      </c>
      <c r="K37" s="16" t="s">
        <v>126</v>
      </c>
      <c r="L37" s="18"/>
      <c r="M37" s="18"/>
    </row>
    <row r="38" spans="1:13" ht="12.75">
      <c r="A38">
        <f t="shared" si="0"/>
        <v>36</v>
      </c>
      <c r="B38" s="85">
        <v>34006</v>
      </c>
      <c r="C38" s="16" t="s">
        <v>57</v>
      </c>
      <c r="D38" s="16"/>
      <c r="E38" s="16" t="s">
        <v>472</v>
      </c>
      <c r="F38" s="16" t="s">
        <v>52</v>
      </c>
      <c r="G38" s="19">
        <v>27.7</v>
      </c>
      <c r="H38" s="18">
        <v>37</v>
      </c>
      <c r="I38" s="20">
        <v>0.07076388888888889</v>
      </c>
      <c r="J38" s="21">
        <f t="shared" si="2"/>
        <v>16.310107948969577</v>
      </c>
      <c r="K38" s="16" t="s">
        <v>127</v>
      </c>
      <c r="L38" s="18"/>
      <c r="M38" s="18"/>
    </row>
    <row r="39" spans="1:13" ht="12.75">
      <c r="A39">
        <f t="shared" si="0"/>
        <v>37</v>
      </c>
      <c r="B39" s="85">
        <v>34014</v>
      </c>
      <c r="C39" s="16" t="s">
        <v>94</v>
      </c>
      <c r="D39" s="16"/>
      <c r="E39" s="16" t="s">
        <v>472</v>
      </c>
      <c r="F39" s="16" t="s">
        <v>50</v>
      </c>
      <c r="G39" s="19">
        <v>10.7</v>
      </c>
      <c r="H39" s="18">
        <v>15</v>
      </c>
      <c r="I39" s="20">
        <v>0.0256712962962963</v>
      </c>
      <c r="J39" s="21">
        <f t="shared" si="2"/>
        <v>17.36699729486023</v>
      </c>
      <c r="K39" s="16" t="s">
        <v>128</v>
      </c>
      <c r="L39" s="18"/>
      <c r="M39" s="18"/>
    </row>
    <row r="40" spans="1:13" ht="12.75">
      <c r="A40">
        <f t="shared" si="0"/>
        <v>38</v>
      </c>
      <c r="B40" s="85">
        <v>34021</v>
      </c>
      <c r="C40" s="16" t="s">
        <v>130</v>
      </c>
      <c r="D40" s="16"/>
      <c r="E40" s="16" t="s">
        <v>472</v>
      </c>
      <c r="F40" s="16" t="s">
        <v>50</v>
      </c>
      <c r="G40" s="19">
        <v>15</v>
      </c>
      <c r="H40" s="18"/>
      <c r="I40" s="20">
        <v>0.038182870370370374</v>
      </c>
      <c r="J40" s="21">
        <f t="shared" si="2"/>
        <v>16.368596544407396</v>
      </c>
      <c r="K40" s="16" t="s">
        <v>129</v>
      </c>
      <c r="L40" s="18"/>
      <c r="M40" s="18"/>
    </row>
    <row r="41" spans="1:13" ht="12.75">
      <c r="A41">
        <f t="shared" si="0"/>
        <v>39</v>
      </c>
      <c r="B41" s="85">
        <v>34034</v>
      </c>
      <c r="C41" s="16" t="s">
        <v>71</v>
      </c>
      <c r="D41" s="16"/>
      <c r="E41" s="16" t="s">
        <v>472</v>
      </c>
      <c r="F41" s="16" t="s">
        <v>52</v>
      </c>
      <c r="G41" s="19">
        <v>16.1</v>
      </c>
      <c r="H41" s="18">
        <v>13</v>
      </c>
      <c r="I41" s="20">
        <v>0.038703703703703705</v>
      </c>
      <c r="J41" s="21">
        <f t="shared" si="2"/>
        <v>17.332535885167466</v>
      </c>
      <c r="K41" s="18"/>
      <c r="L41" s="18"/>
      <c r="M41" s="18"/>
    </row>
    <row r="42" spans="1:13" ht="12.75">
      <c r="A42">
        <f t="shared" si="0"/>
        <v>40</v>
      </c>
      <c r="B42" s="85">
        <v>34055</v>
      </c>
      <c r="C42" s="16" t="s">
        <v>137</v>
      </c>
      <c r="D42" s="16"/>
      <c r="E42" s="16" t="s">
        <v>472</v>
      </c>
      <c r="F42" s="16" t="s">
        <v>52</v>
      </c>
      <c r="G42" s="19">
        <v>42.195</v>
      </c>
      <c r="H42" s="18">
        <v>40</v>
      </c>
      <c r="I42" s="20">
        <v>0.115625</v>
      </c>
      <c r="J42" s="21">
        <f t="shared" si="2"/>
        <v>15.205405405405404</v>
      </c>
      <c r="K42" s="18" t="s">
        <v>138</v>
      </c>
      <c r="L42" s="18"/>
      <c r="M42" s="18"/>
    </row>
    <row r="43" spans="1:13" ht="12.75">
      <c r="A43">
        <f t="shared" si="0"/>
        <v>41</v>
      </c>
      <c r="B43" s="85">
        <v>34094</v>
      </c>
      <c r="C43" s="16" t="s">
        <v>51</v>
      </c>
      <c r="D43" s="16"/>
      <c r="E43" s="16" t="s">
        <v>472</v>
      </c>
      <c r="F43" s="16" t="s">
        <v>70</v>
      </c>
      <c r="G43" s="19">
        <v>5</v>
      </c>
      <c r="H43" s="18"/>
      <c r="I43" s="20">
        <v>0.011388888888888888</v>
      </c>
      <c r="J43" s="21">
        <f t="shared" si="2"/>
        <v>18.29268292682927</v>
      </c>
      <c r="K43" s="18"/>
      <c r="L43" s="18"/>
      <c r="M43" s="18"/>
    </row>
    <row r="44" spans="1:13" ht="12.75">
      <c r="A44">
        <f t="shared" si="0"/>
        <v>42</v>
      </c>
      <c r="B44" s="85">
        <v>34102</v>
      </c>
      <c r="C44" s="16" t="s">
        <v>25</v>
      </c>
      <c r="D44" s="16"/>
      <c r="E44" s="16" t="s">
        <v>472</v>
      </c>
      <c r="F44" s="16" t="s">
        <v>50</v>
      </c>
      <c r="G44" s="19">
        <v>5</v>
      </c>
      <c r="H44" s="18"/>
      <c r="I44" s="20">
        <v>0.015486111111111112</v>
      </c>
      <c r="J44" s="21">
        <f t="shared" si="2"/>
        <v>13.452914798206276</v>
      </c>
      <c r="K44" s="18" t="s">
        <v>124</v>
      </c>
      <c r="L44" s="18"/>
      <c r="M44" s="18"/>
    </row>
    <row r="45" spans="1:13" ht="12.75">
      <c r="A45">
        <f t="shared" si="0"/>
        <v>43</v>
      </c>
      <c r="B45" s="85">
        <v>34322</v>
      </c>
      <c r="C45" s="16" t="s">
        <v>107</v>
      </c>
      <c r="D45" s="16"/>
      <c r="E45" s="16" t="s">
        <v>472</v>
      </c>
      <c r="F45" s="16" t="s">
        <v>52</v>
      </c>
      <c r="G45" s="19">
        <v>10</v>
      </c>
      <c r="H45" s="18">
        <v>6</v>
      </c>
      <c r="I45" s="20">
        <v>0.0250462962962963</v>
      </c>
      <c r="J45" s="21">
        <f t="shared" si="2"/>
        <v>16.635859519408502</v>
      </c>
      <c r="K45" s="18"/>
      <c r="L45" s="18"/>
      <c r="M45" s="18"/>
    </row>
    <row r="46" spans="1:13" ht="12.75">
      <c r="A46">
        <f t="shared" si="0"/>
        <v>44</v>
      </c>
      <c r="B46" s="85">
        <v>34329</v>
      </c>
      <c r="C46" s="16" t="s">
        <v>23</v>
      </c>
      <c r="D46" s="16"/>
      <c r="E46" s="16" t="s">
        <v>472</v>
      </c>
      <c r="F46" s="16" t="s">
        <v>52</v>
      </c>
      <c r="G46" s="19">
        <v>10</v>
      </c>
      <c r="H46" s="18"/>
      <c r="I46" s="20">
        <v>0.030590277777777775</v>
      </c>
      <c r="J46" s="21">
        <f t="shared" si="2"/>
        <v>13.620885357548241</v>
      </c>
      <c r="K46" s="18" t="s">
        <v>73</v>
      </c>
      <c r="L46" s="18"/>
      <c r="M46" s="18"/>
    </row>
    <row r="47" spans="1:13" ht="12.75">
      <c r="A47">
        <f t="shared" si="0"/>
        <v>45</v>
      </c>
      <c r="B47" s="85">
        <v>34370</v>
      </c>
      <c r="C47" s="16" t="s">
        <v>57</v>
      </c>
      <c r="D47" s="16"/>
      <c r="E47" s="16" t="s">
        <v>472</v>
      </c>
      <c r="F47" s="16" t="s">
        <v>52</v>
      </c>
      <c r="G47" s="19">
        <v>18.6</v>
      </c>
      <c r="H47" s="18"/>
      <c r="I47" s="20">
        <v>0.0497337962962963</v>
      </c>
      <c r="J47" s="21">
        <f t="shared" si="2"/>
        <v>15.582964859204097</v>
      </c>
      <c r="K47" s="16" t="s">
        <v>165</v>
      </c>
      <c r="L47" s="18"/>
      <c r="M47" s="18"/>
    </row>
    <row r="48" spans="1:13" ht="12.75">
      <c r="A48">
        <f t="shared" si="0"/>
        <v>46</v>
      </c>
      <c r="B48" s="85">
        <v>34451</v>
      </c>
      <c r="C48" s="16" t="s">
        <v>51</v>
      </c>
      <c r="D48" s="16"/>
      <c r="E48" s="16" t="s">
        <v>472</v>
      </c>
      <c r="F48" s="16" t="s">
        <v>70</v>
      </c>
      <c r="G48" s="19">
        <v>5</v>
      </c>
      <c r="H48" s="18"/>
      <c r="I48" s="20">
        <v>0.011331018518518518</v>
      </c>
      <c r="J48" s="21">
        <f t="shared" si="2"/>
        <v>18.386108273748725</v>
      </c>
      <c r="K48" s="16" t="s">
        <v>171</v>
      </c>
      <c r="L48" s="18"/>
      <c r="M48" s="18"/>
    </row>
    <row r="49" spans="1:13" ht="12.75">
      <c r="A49">
        <f t="shared" si="0"/>
        <v>47</v>
      </c>
      <c r="B49" s="85">
        <v>34467</v>
      </c>
      <c r="C49" s="16" t="s">
        <v>51</v>
      </c>
      <c r="D49" s="16"/>
      <c r="E49" s="16" t="s">
        <v>472</v>
      </c>
      <c r="F49" s="16" t="s">
        <v>70</v>
      </c>
      <c r="G49" s="19">
        <v>3</v>
      </c>
      <c r="H49" s="18">
        <v>2</v>
      </c>
      <c r="I49" s="20">
        <v>0.007071759259259259</v>
      </c>
      <c r="J49" s="21">
        <f t="shared" si="2"/>
        <v>17.6759410801964</v>
      </c>
      <c r="K49" s="16" t="s">
        <v>177</v>
      </c>
      <c r="L49" s="18"/>
      <c r="M49" s="18" t="s">
        <v>155</v>
      </c>
    </row>
    <row r="50" spans="1:13" ht="12.75">
      <c r="A50">
        <f t="shared" si="0"/>
        <v>48</v>
      </c>
      <c r="B50" s="85">
        <v>34469</v>
      </c>
      <c r="C50" s="16" t="s">
        <v>178</v>
      </c>
      <c r="D50" s="16"/>
      <c r="E50" s="16" t="s">
        <v>472</v>
      </c>
      <c r="F50" s="16" t="s">
        <v>70</v>
      </c>
      <c r="G50" s="19">
        <v>5</v>
      </c>
      <c r="H50" s="18"/>
      <c r="I50" s="63">
        <v>0.01129513888888889</v>
      </c>
      <c r="J50" s="21">
        <f t="shared" si="2"/>
        <v>18.444512757454657</v>
      </c>
      <c r="K50" s="16" t="s">
        <v>179</v>
      </c>
      <c r="L50" s="18"/>
      <c r="M50" s="18"/>
    </row>
    <row r="51" spans="1:13" ht="12.75">
      <c r="A51">
        <f t="shared" si="0"/>
        <v>49</v>
      </c>
      <c r="B51" s="85">
        <v>34651</v>
      </c>
      <c r="C51" s="16" t="s">
        <v>13</v>
      </c>
      <c r="D51" s="16"/>
      <c r="E51" s="16" t="s">
        <v>472</v>
      </c>
      <c r="F51" s="16" t="s">
        <v>52</v>
      </c>
      <c r="G51" s="19">
        <v>21.1</v>
      </c>
      <c r="H51" s="18">
        <v>4</v>
      </c>
      <c r="I51" s="20">
        <v>0.050995370370370365</v>
      </c>
      <c r="J51" s="21">
        <f t="shared" si="2"/>
        <v>17.240127099409897</v>
      </c>
      <c r="K51" s="16"/>
      <c r="L51" s="18"/>
      <c r="M51" s="18"/>
    </row>
    <row r="52" spans="1:13" ht="12.75">
      <c r="A52">
        <f t="shared" si="0"/>
        <v>50</v>
      </c>
      <c r="B52" s="85">
        <v>34665</v>
      </c>
      <c r="C52" s="16" t="s">
        <v>212</v>
      </c>
      <c r="D52" s="16"/>
      <c r="E52" s="16" t="s">
        <v>472</v>
      </c>
      <c r="F52" s="16" t="s">
        <v>50</v>
      </c>
      <c r="G52" s="19">
        <v>10</v>
      </c>
      <c r="H52" s="18">
        <v>7</v>
      </c>
      <c r="I52" s="20">
        <v>0.024837962962962964</v>
      </c>
      <c r="J52" s="21">
        <f t="shared" si="2"/>
        <v>16.775396085740912</v>
      </c>
      <c r="K52" s="16"/>
      <c r="L52" s="18"/>
      <c r="M52" s="18"/>
    </row>
    <row r="53" spans="1:13" ht="12.75">
      <c r="A53">
        <f t="shared" si="0"/>
        <v>51</v>
      </c>
      <c r="B53" s="85">
        <v>34671</v>
      </c>
      <c r="C53" s="16" t="s">
        <v>25</v>
      </c>
      <c r="D53" s="16"/>
      <c r="E53" s="16" t="s">
        <v>472</v>
      </c>
      <c r="F53" s="16" t="s">
        <v>50</v>
      </c>
      <c r="G53" s="19">
        <v>10.284</v>
      </c>
      <c r="H53" s="18">
        <v>2</v>
      </c>
      <c r="I53" s="20">
        <v>0.024131944444444445</v>
      </c>
      <c r="J53" s="21">
        <f t="shared" si="2"/>
        <v>17.756546762589927</v>
      </c>
      <c r="K53" s="16" t="s">
        <v>213</v>
      </c>
      <c r="L53" s="18"/>
      <c r="M53" s="18"/>
    </row>
    <row r="54" spans="1:13" ht="12.75">
      <c r="A54">
        <f t="shared" si="0"/>
        <v>52</v>
      </c>
      <c r="B54" s="85">
        <v>34714</v>
      </c>
      <c r="C54" s="16" t="s">
        <v>214</v>
      </c>
      <c r="D54" s="16"/>
      <c r="E54" s="16" t="s">
        <v>472</v>
      </c>
      <c r="F54" s="16" t="s">
        <v>50</v>
      </c>
      <c r="G54" s="19">
        <v>11.5</v>
      </c>
      <c r="H54" s="16">
        <v>1</v>
      </c>
      <c r="I54" s="20">
        <v>0.028657407407407406</v>
      </c>
      <c r="J54" s="21">
        <f t="shared" si="2"/>
        <v>16.7205169628433</v>
      </c>
      <c r="K54" s="16"/>
      <c r="L54" s="18"/>
      <c r="M54" s="18"/>
    </row>
    <row r="55" spans="1:13" ht="12.75">
      <c r="A55">
        <f t="shared" si="0"/>
        <v>53</v>
      </c>
      <c r="B55" s="85">
        <v>34811</v>
      </c>
      <c r="C55" s="16" t="s">
        <v>226</v>
      </c>
      <c r="D55" s="16"/>
      <c r="E55" s="16" t="s">
        <v>472</v>
      </c>
      <c r="F55" s="16" t="s">
        <v>52</v>
      </c>
      <c r="G55" s="19">
        <v>7.2</v>
      </c>
      <c r="H55" s="18"/>
      <c r="I55" s="20">
        <v>0.017175925925925924</v>
      </c>
      <c r="J55" s="21">
        <f t="shared" si="2"/>
        <v>17.466307277628037</v>
      </c>
      <c r="K55" s="16" t="s">
        <v>227</v>
      </c>
      <c r="L55" s="18"/>
      <c r="M55" s="18"/>
    </row>
    <row r="56" spans="1:13" ht="12.75">
      <c r="A56">
        <f t="shared" si="0"/>
        <v>54</v>
      </c>
      <c r="B56" s="85">
        <v>35043</v>
      </c>
      <c r="C56" s="16" t="s">
        <v>135</v>
      </c>
      <c r="D56" s="16"/>
      <c r="E56" s="16" t="s">
        <v>472</v>
      </c>
      <c r="F56" s="16" t="s">
        <v>50</v>
      </c>
      <c r="G56" s="19">
        <v>10</v>
      </c>
      <c r="H56" s="18"/>
      <c r="I56" s="20">
        <v>0.028692129629629633</v>
      </c>
      <c r="J56" s="21">
        <f t="shared" si="2"/>
        <v>14.521984671238402</v>
      </c>
      <c r="K56" s="16"/>
      <c r="L56" s="18"/>
      <c r="M56" s="18"/>
    </row>
    <row r="57" spans="1:13" ht="12.75">
      <c r="A57">
        <f t="shared" si="0"/>
        <v>55</v>
      </c>
      <c r="B57" s="85">
        <v>35059</v>
      </c>
      <c r="C57" s="16" t="s">
        <v>23</v>
      </c>
      <c r="D57" s="16"/>
      <c r="E57" s="16" t="s">
        <v>472</v>
      </c>
      <c r="F57" s="16" t="s">
        <v>52</v>
      </c>
      <c r="G57" s="19">
        <v>10</v>
      </c>
      <c r="H57" s="18"/>
      <c r="I57" s="20">
        <v>0.03436342592592593</v>
      </c>
      <c r="J57" s="21">
        <f t="shared" si="2"/>
        <v>12.125294712024248</v>
      </c>
      <c r="K57" s="16" t="s">
        <v>73</v>
      </c>
      <c r="L57" s="18"/>
      <c r="M57" s="18"/>
    </row>
    <row r="58" spans="1:13" ht="12.75">
      <c r="A58">
        <f t="shared" si="0"/>
        <v>56</v>
      </c>
      <c r="B58" s="85">
        <v>35148</v>
      </c>
      <c r="C58" s="16" t="s">
        <v>88</v>
      </c>
      <c r="D58" s="16"/>
      <c r="E58" s="16" t="s">
        <v>472</v>
      </c>
      <c r="F58" s="16" t="s">
        <v>52</v>
      </c>
      <c r="G58" s="19">
        <v>16.1</v>
      </c>
      <c r="H58" s="18"/>
      <c r="I58" s="20">
        <v>0.04305555555555556</v>
      </c>
      <c r="J58" s="21">
        <f t="shared" si="2"/>
        <v>15.580645161290322</v>
      </c>
      <c r="K58" s="16" t="s">
        <v>427</v>
      </c>
      <c r="L58" s="18"/>
      <c r="M58" s="18"/>
    </row>
    <row r="59" spans="1:13" ht="12.75">
      <c r="A59">
        <f t="shared" si="0"/>
        <v>57</v>
      </c>
      <c r="B59" s="85">
        <v>35182</v>
      </c>
      <c r="C59" s="16" t="s">
        <v>25</v>
      </c>
      <c r="D59" s="16"/>
      <c r="E59" s="16" t="s">
        <v>472</v>
      </c>
      <c r="F59" s="16" t="s">
        <v>52</v>
      </c>
      <c r="G59" s="19">
        <v>8.2</v>
      </c>
      <c r="H59" s="18">
        <v>6</v>
      </c>
      <c r="I59" s="20">
        <v>0.0178125</v>
      </c>
      <c r="J59" s="21">
        <f t="shared" si="2"/>
        <v>19.1812865497076</v>
      </c>
      <c r="K59" s="16" t="s">
        <v>270</v>
      </c>
      <c r="L59" s="18"/>
      <c r="M59" s="18"/>
    </row>
    <row r="60" spans="1:13" ht="12.75">
      <c r="A60">
        <f t="shared" si="0"/>
        <v>58</v>
      </c>
      <c r="B60" s="85">
        <v>35190</v>
      </c>
      <c r="C60" s="16" t="s">
        <v>25</v>
      </c>
      <c r="D60" s="16"/>
      <c r="E60" s="16" t="s">
        <v>472</v>
      </c>
      <c r="F60" s="16" t="s">
        <v>70</v>
      </c>
      <c r="G60" s="19">
        <v>5</v>
      </c>
      <c r="H60" s="18">
        <v>3</v>
      </c>
      <c r="I60" s="63">
        <v>0.010715277777777777</v>
      </c>
      <c r="J60" s="21">
        <f t="shared" si="2"/>
        <v>19.44264419961115</v>
      </c>
      <c r="K60" s="16" t="s">
        <v>179</v>
      </c>
      <c r="L60" s="18"/>
      <c r="M60" s="18"/>
    </row>
    <row r="61" spans="1:13" ht="12.75">
      <c r="A61">
        <f t="shared" si="0"/>
        <v>59</v>
      </c>
      <c r="B61" s="85">
        <v>35222</v>
      </c>
      <c r="C61" s="16" t="s">
        <v>51</v>
      </c>
      <c r="D61" s="16"/>
      <c r="E61" s="16" t="s">
        <v>472</v>
      </c>
      <c r="F61" s="16" t="s">
        <v>70</v>
      </c>
      <c r="G61" s="19">
        <v>1</v>
      </c>
      <c r="H61" s="18"/>
      <c r="I61" s="20">
        <v>0.0018865740740740742</v>
      </c>
      <c r="J61" s="21">
        <f t="shared" si="2"/>
        <v>22.085889570552148</v>
      </c>
      <c r="K61" s="16"/>
      <c r="L61" s="18"/>
      <c r="M61" s="18"/>
    </row>
    <row r="62" spans="1:13" ht="12.75">
      <c r="A62">
        <f t="shared" si="0"/>
        <v>60</v>
      </c>
      <c r="B62" s="85">
        <v>35225</v>
      </c>
      <c r="C62" s="16" t="s">
        <v>281</v>
      </c>
      <c r="D62" s="16"/>
      <c r="E62" s="16" t="s">
        <v>472</v>
      </c>
      <c r="F62" s="16" t="s">
        <v>70</v>
      </c>
      <c r="G62" s="19">
        <v>5</v>
      </c>
      <c r="H62" s="18">
        <v>2</v>
      </c>
      <c r="I62" s="20">
        <v>0.01091435185185185</v>
      </c>
      <c r="J62" s="21">
        <f t="shared" si="2"/>
        <v>19.088016967126194</v>
      </c>
      <c r="K62" s="16" t="s">
        <v>179</v>
      </c>
      <c r="L62" s="18"/>
      <c r="M62" s="18"/>
    </row>
    <row r="63" spans="1:13" ht="12.75">
      <c r="A63">
        <f t="shared" si="0"/>
        <v>61</v>
      </c>
      <c r="B63" s="85">
        <v>35425</v>
      </c>
      <c r="C63" s="16" t="s">
        <v>23</v>
      </c>
      <c r="D63" s="16"/>
      <c r="E63" s="16" t="s">
        <v>472</v>
      </c>
      <c r="F63" s="16" t="s">
        <v>52</v>
      </c>
      <c r="G63" s="19">
        <v>10</v>
      </c>
      <c r="H63" s="18">
        <v>1</v>
      </c>
      <c r="I63" s="20">
        <v>0.024340277777777777</v>
      </c>
      <c r="J63" s="21">
        <f t="shared" si="2"/>
        <v>17.11840228245364</v>
      </c>
      <c r="K63" s="16" t="s">
        <v>73</v>
      </c>
      <c r="L63" s="18"/>
      <c r="M63" s="18"/>
    </row>
    <row r="64" spans="1:13" ht="12.75">
      <c r="A64">
        <f t="shared" si="0"/>
        <v>62</v>
      </c>
      <c r="B64" s="85">
        <v>35462</v>
      </c>
      <c r="C64" s="16" t="s">
        <v>57</v>
      </c>
      <c r="D64" s="16"/>
      <c r="E64" s="16" t="s">
        <v>472</v>
      </c>
      <c r="F64" s="16" t="s">
        <v>52</v>
      </c>
      <c r="G64" s="19">
        <v>18.6</v>
      </c>
      <c r="H64" s="18"/>
      <c r="I64" s="20">
        <v>0.04474537037037037</v>
      </c>
      <c r="J64" s="21">
        <f t="shared" si="2"/>
        <v>17.320227625452667</v>
      </c>
      <c r="K64" s="16"/>
      <c r="L64" s="18"/>
      <c r="M64" s="18"/>
    </row>
    <row r="65" spans="1:13" ht="12.75">
      <c r="A65">
        <f t="shared" si="0"/>
        <v>63</v>
      </c>
      <c r="B65" s="85">
        <v>36093</v>
      </c>
      <c r="C65" s="16" t="s">
        <v>135</v>
      </c>
      <c r="D65" s="16"/>
      <c r="E65" s="16" t="s">
        <v>472</v>
      </c>
      <c r="F65" s="16" t="s">
        <v>50</v>
      </c>
      <c r="G65" s="19">
        <v>8</v>
      </c>
      <c r="H65" s="16">
        <v>1</v>
      </c>
      <c r="I65" s="20">
        <v>0.019293981481481485</v>
      </c>
      <c r="J65" s="21">
        <f t="shared" si="2"/>
        <v>17.276544691061783</v>
      </c>
      <c r="K65" s="16" t="s">
        <v>336</v>
      </c>
      <c r="L65" s="18"/>
      <c r="M65" s="18"/>
    </row>
    <row r="66" spans="1:13" ht="12.75">
      <c r="A66">
        <f t="shared" si="0"/>
        <v>64</v>
      </c>
      <c r="B66" s="85">
        <v>36099</v>
      </c>
      <c r="C66" s="16" t="s">
        <v>337</v>
      </c>
      <c r="D66" s="16"/>
      <c r="E66" s="16" t="s">
        <v>472</v>
      </c>
      <c r="F66" s="16" t="s">
        <v>52</v>
      </c>
      <c r="G66" s="19">
        <v>16.1</v>
      </c>
      <c r="H66" s="16">
        <v>5</v>
      </c>
      <c r="I66" s="20">
        <v>0.037766203703703705</v>
      </c>
      <c r="J66" s="21">
        <f t="shared" si="2"/>
        <v>17.762794973950353</v>
      </c>
      <c r="K66" s="16" t="s">
        <v>121</v>
      </c>
      <c r="L66" s="18"/>
      <c r="M66" s="18"/>
    </row>
    <row r="67" spans="1:13" ht="12.75">
      <c r="A67">
        <f aca="true" t="shared" si="3" ref="A67:A146">IF(B67=0,"",ROW(A65))</f>
        <v>65</v>
      </c>
      <c r="B67" s="85">
        <v>36106</v>
      </c>
      <c r="C67" s="16" t="s">
        <v>209</v>
      </c>
      <c r="D67" s="16"/>
      <c r="E67" s="16" t="s">
        <v>472</v>
      </c>
      <c r="F67" s="16" t="s">
        <v>52</v>
      </c>
      <c r="G67" s="19">
        <v>20</v>
      </c>
      <c r="H67" s="16">
        <v>2</v>
      </c>
      <c r="I67" s="20">
        <v>0.05004629629629629</v>
      </c>
      <c r="J67" s="21">
        <f t="shared" si="2"/>
        <v>16.651248843663275</v>
      </c>
      <c r="K67" s="16" t="s">
        <v>519</v>
      </c>
      <c r="L67" s="18"/>
      <c r="M67" s="18"/>
    </row>
    <row r="68" spans="1:13" ht="12.75">
      <c r="A68">
        <f t="shared" si="3"/>
        <v>66</v>
      </c>
      <c r="B68" s="85">
        <v>36155</v>
      </c>
      <c r="C68" s="16" t="s">
        <v>23</v>
      </c>
      <c r="D68" s="16"/>
      <c r="E68" s="16" t="s">
        <v>472</v>
      </c>
      <c r="F68" s="16" t="s">
        <v>52</v>
      </c>
      <c r="G68" s="19">
        <v>10</v>
      </c>
      <c r="H68" s="16">
        <v>1</v>
      </c>
      <c r="I68" s="20">
        <v>0.02335648148148148</v>
      </c>
      <c r="J68" s="21">
        <f t="shared" si="2"/>
        <v>17.839444995044598</v>
      </c>
      <c r="K68" s="16" t="s">
        <v>73</v>
      </c>
      <c r="L68" s="18"/>
      <c r="M68" s="18"/>
    </row>
    <row r="69" spans="1:13" ht="12.75">
      <c r="A69">
        <f t="shared" si="3"/>
        <v>67</v>
      </c>
      <c r="B69" s="85">
        <v>36170</v>
      </c>
      <c r="C69" s="16" t="s">
        <v>338</v>
      </c>
      <c r="D69" s="16"/>
      <c r="E69" s="16" t="s">
        <v>472</v>
      </c>
      <c r="F69" s="16" t="s">
        <v>50</v>
      </c>
      <c r="G69" s="19">
        <v>21.1</v>
      </c>
      <c r="H69" s="18"/>
      <c r="I69" s="20">
        <v>0.05053240740740741</v>
      </c>
      <c r="J69" s="21">
        <f t="shared" si="2"/>
        <v>17.398076042143842</v>
      </c>
      <c r="K69" s="16"/>
      <c r="L69" s="18"/>
      <c r="M69" s="18"/>
    </row>
    <row r="70" spans="1:13" ht="12.75">
      <c r="A70">
        <f t="shared" si="3"/>
        <v>68</v>
      </c>
      <c r="B70" s="85">
        <v>36255</v>
      </c>
      <c r="C70" s="16" t="s">
        <v>115</v>
      </c>
      <c r="D70" s="16"/>
      <c r="E70" s="16" t="s">
        <v>472</v>
      </c>
      <c r="F70" s="16" t="s">
        <v>52</v>
      </c>
      <c r="G70" s="19">
        <v>10.4</v>
      </c>
      <c r="H70" s="18"/>
      <c r="I70" s="20">
        <v>0.02539351851851852</v>
      </c>
      <c r="J70" s="21">
        <f t="shared" si="2"/>
        <v>17.06472196900638</v>
      </c>
      <c r="K70" s="16"/>
      <c r="L70" s="18"/>
      <c r="M70" s="18"/>
    </row>
    <row r="71" spans="1:13" ht="12.75">
      <c r="A71">
        <f t="shared" si="3"/>
        <v>69</v>
      </c>
      <c r="B71" s="85">
        <v>36883</v>
      </c>
      <c r="C71" s="16" t="s">
        <v>411</v>
      </c>
      <c r="D71" s="16"/>
      <c r="E71" s="16" t="s">
        <v>472</v>
      </c>
      <c r="F71" s="16" t="s">
        <v>52</v>
      </c>
      <c r="G71" s="19">
        <v>21.1</v>
      </c>
      <c r="H71" s="18"/>
      <c r="I71" s="20">
        <v>0.057291666666666664</v>
      </c>
      <c r="J71" s="21">
        <f t="shared" si="2"/>
        <v>15.345454545454546</v>
      </c>
      <c r="K71" s="16"/>
      <c r="L71" s="18"/>
      <c r="M71" s="18"/>
    </row>
    <row r="72" spans="1:13" ht="12.75">
      <c r="A72">
        <f t="shared" si="3"/>
        <v>70</v>
      </c>
      <c r="B72" s="85">
        <v>36886</v>
      </c>
      <c r="C72" s="16" t="s">
        <v>23</v>
      </c>
      <c r="D72" s="16"/>
      <c r="E72" s="16" t="s">
        <v>472</v>
      </c>
      <c r="F72" s="16" t="s">
        <v>52</v>
      </c>
      <c r="G72" s="19">
        <v>10</v>
      </c>
      <c r="H72" s="18"/>
      <c r="I72" s="20">
        <v>0.025868055555555557</v>
      </c>
      <c r="J72" s="21">
        <f t="shared" si="2"/>
        <v>16.10738255033557</v>
      </c>
      <c r="K72" s="16" t="s">
        <v>73</v>
      </c>
      <c r="L72" s="18"/>
      <c r="M72" s="18"/>
    </row>
    <row r="73" spans="1:13" ht="12.75">
      <c r="A73">
        <f t="shared" si="3"/>
        <v>71</v>
      </c>
      <c r="B73" s="85">
        <v>36901</v>
      </c>
      <c r="C73" s="16" t="s">
        <v>338</v>
      </c>
      <c r="D73" s="16"/>
      <c r="E73" s="16" t="s">
        <v>472</v>
      </c>
      <c r="F73" s="16" t="s">
        <v>50</v>
      </c>
      <c r="G73" s="19">
        <v>21.1</v>
      </c>
      <c r="H73" s="18"/>
      <c r="I73" s="20">
        <v>0.053298611111111116</v>
      </c>
      <c r="J73" s="21">
        <f t="shared" si="2"/>
        <v>16.495114006514658</v>
      </c>
      <c r="K73" s="16" t="s">
        <v>526</v>
      </c>
      <c r="L73" s="18"/>
      <c r="M73" s="18"/>
    </row>
    <row r="74" spans="1:13" ht="12.75">
      <c r="A74">
        <f t="shared" si="3"/>
        <v>72</v>
      </c>
      <c r="B74" s="85">
        <v>36950</v>
      </c>
      <c r="C74" s="16" t="s">
        <v>386</v>
      </c>
      <c r="D74" s="16" t="s">
        <v>387</v>
      </c>
      <c r="E74" s="16" t="s">
        <v>472</v>
      </c>
      <c r="F74" s="16" t="s">
        <v>52</v>
      </c>
      <c r="G74" s="19">
        <v>5</v>
      </c>
      <c r="H74" s="18"/>
      <c r="I74" s="20">
        <v>0.0125</v>
      </c>
      <c r="J74" s="21">
        <f t="shared" si="2"/>
        <v>16.666666666666664</v>
      </c>
      <c r="K74" s="16" t="s">
        <v>508</v>
      </c>
      <c r="L74" s="18"/>
      <c r="M74" s="18"/>
    </row>
    <row r="75" spans="1:13" ht="12.75">
      <c r="A75">
        <f t="shared" si="3"/>
        <v>73</v>
      </c>
      <c r="B75" s="85">
        <v>37150</v>
      </c>
      <c r="C75" s="16" t="s">
        <v>25</v>
      </c>
      <c r="D75" s="16"/>
      <c r="E75" s="16" t="s">
        <v>472</v>
      </c>
      <c r="F75" s="16" t="s">
        <v>52</v>
      </c>
      <c r="G75" s="19">
        <v>16.1</v>
      </c>
      <c r="H75" s="18">
        <v>6</v>
      </c>
      <c r="I75" s="20">
        <v>0.037442129629629624</v>
      </c>
      <c r="J75" s="21">
        <f t="shared" si="2"/>
        <v>17.91653786707883</v>
      </c>
      <c r="K75" s="16" t="s">
        <v>396</v>
      </c>
      <c r="L75" s="18"/>
      <c r="M75" s="18"/>
    </row>
    <row r="76" spans="1:13" ht="12.75">
      <c r="A76">
        <f t="shared" si="3"/>
        <v>74</v>
      </c>
      <c r="B76" s="85">
        <v>37251</v>
      </c>
      <c r="C76" s="16" t="s">
        <v>23</v>
      </c>
      <c r="D76" s="16"/>
      <c r="E76" s="16" t="s">
        <v>472</v>
      </c>
      <c r="F76" s="16" t="s">
        <v>52</v>
      </c>
      <c r="G76" s="19">
        <v>10</v>
      </c>
      <c r="H76" s="18"/>
      <c r="I76" s="20">
        <v>0.031712962962962964</v>
      </c>
      <c r="J76" s="21">
        <f t="shared" si="2"/>
        <v>13.138686131386862</v>
      </c>
      <c r="K76" s="16" t="s">
        <v>73</v>
      </c>
      <c r="L76" s="18"/>
      <c r="M76" s="18"/>
    </row>
    <row r="77" spans="1:13" ht="12.75">
      <c r="A77">
        <f t="shared" si="3"/>
        <v>75</v>
      </c>
      <c r="B77" s="85">
        <v>37269</v>
      </c>
      <c r="C77" s="16" t="s">
        <v>338</v>
      </c>
      <c r="D77" s="16"/>
      <c r="E77" s="16" t="s">
        <v>472</v>
      </c>
      <c r="F77" s="16" t="s">
        <v>50</v>
      </c>
      <c r="G77" s="19">
        <v>21.1</v>
      </c>
      <c r="H77" s="18">
        <v>437</v>
      </c>
      <c r="I77" s="20">
        <v>0.07113425925925926</v>
      </c>
      <c r="J77" s="21">
        <f t="shared" si="2"/>
        <v>12.359258054018875</v>
      </c>
      <c r="K77" s="16" t="s">
        <v>543</v>
      </c>
      <c r="L77" s="18"/>
      <c r="M77" s="18"/>
    </row>
    <row r="78" spans="1:13" ht="12.75">
      <c r="A78">
        <f t="shared" si="3"/>
        <v>76</v>
      </c>
      <c r="B78" s="85">
        <v>37339</v>
      </c>
      <c r="C78" s="16" t="s">
        <v>88</v>
      </c>
      <c r="D78" s="16"/>
      <c r="E78" s="16" t="s">
        <v>472</v>
      </c>
      <c r="F78" s="16" t="s">
        <v>52</v>
      </c>
      <c r="G78" s="19">
        <v>16.1</v>
      </c>
      <c r="H78" s="18">
        <v>1</v>
      </c>
      <c r="I78" s="20">
        <v>0.03665509259259259</v>
      </c>
      <c r="J78" s="21">
        <f t="shared" si="2"/>
        <v>18.301231449321126</v>
      </c>
      <c r="K78" s="16" t="s">
        <v>427</v>
      </c>
      <c r="L78" s="18"/>
      <c r="M78" s="18"/>
    </row>
    <row r="79" spans="1:13" ht="12.75">
      <c r="A79">
        <f t="shared" si="3"/>
        <v>77</v>
      </c>
      <c r="B79" s="85">
        <v>37422</v>
      </c>
      <c r="C79" s="16" t="s">
        <v>510</v>
      </c>
      <c r="D79" s="16"/>
      <c r="E79" s="16" t="s">
        <v>472</v>
      </c>
      <c r="F79" s="16" t="s">
        <v>52</v>
      </c>
      <c r="G79" s="19">
        <v>21.1</v>
      </c>
      <c r="H79" s="18"/>
      <c r="I79" s="20">
        <v>0.06388888888888888</v>
      </c>
      <c r="J79" s="21">
        <f t="shared" si="2"/>
        <v>13.760869565217392</v>
      </c>
      <c r="K79" s="16"/>
      <c r="L79" s="18"/>
      <c r="M79" s="18"/>
    </row>
    <row r="80" spans="1:13" ht="12.75">
      <c r="A80">
        <f t="shared" si="3"/>
        <v>78</v>
      </c>
      <c r="B80" s="85">
        <v>37611</v>
      </c>
      <c r="C80" s="16" t="s">
        <v>411</v>
      </c>
      <c r="D80" s="16"/>
      <c r="E80" s="16" t="s">
        <v>472</v>
      </c>
      <c r="F80" s="16" t="s">
        <v>52</v>
      </c>
      <c r="G80" s="19">
        <v>9.5</v>
      </c>
      <c r="H80" s="18">
        <v>1</v>
      </c>
      <c r="I80" s="20">
        <v>0.02335648148148148</v>
      </c>
      <c r="J80" s="21">
        <f t="shared" si="2"/>
        <v>16.94747274529237</v>
      </c>
      <c r="K80" s="16"/>
      <c r="L80" s="18" t="s">
        <v>412</v>
      </c>
      <c r="M80" s="18"/>
    </row>
    <row r="81" spans="1:13" ht="12.75">
      <c r="A81">
        <f t="shared" si="3"/>
        <v>79</v>
      </c>
      <c r="B81" s="85">
        <v>37616</v>
      </c>
      <c r="C81" s="16" t="s">
        <v>23</v>
      </c>
      <c r="D81" s="16"/>
      <c r="E81" s="16" t="s">
        <v>472</v>
      </c>
      <c r="F81" s="16" t="s">
        <v>52</v>
      </c>
      <c r="G81" s="19">
        <v>10</v>
      </c>
      <c r="H81" s="18">
        <v>1</v>
      </c>
      <c r="I81" s="20">
        <v>0.024166666666666666</v>
      </c>
      <c r="J81" s="21">
        <f t="shared" si="2"/>
        <v>17.24137931034483</v>
      </c>
      <c r="K81" s="16" t="s">
        <v>73</v>
      </c>
      <c r="L81" s="18"/>
      <c r="M81" s="18"/>
    </row>
    <row r="82" spans="1:13" ht="12.75">
      <c r="A82">
        <f t="shared" si="3"/>
        <v>80</v>
      </c>
      <c r="B82" s="85">
        <v>37633</v>
      </c>
      <c r="C82" s="16" t="s">
        <v>338</v>
      </c>
      <c r="D82" s="16"/>
      <c r="E82" s="16" t="s">
        <v>472</v>
      </c>
      <c r="F82" s="16" t="s">
        <v>50</v>
      </c>
      <c r="G82" s="19">
        <v>21.1</v>
      </c>
      <c r="H82" s="18"/>
      <c r="I82" s="20">
        <v>0.05295138888888889</v>
      </c>
      <c r="J82" s="21">
        <f t="shared" si="2"/>
        <v>16.603278688524593</v>
      </c>
      <c r="K82" s="16"/>
      <c r="L82" s="18"/>
      <c r="M82" s="18"/>
    </row>
    <row r="83" spans="1:13" ht="12.75">
      <c r="A83">
        <f t="shared" si="3"/>
        <v>81</v>
      </c>
      <c r="B83" s="85">
        <v>37696</v>
      </c>
      <c r="C83" s="16" t="s">
        <v>91</v>
      </c>
      <c r="D83" s="16"/>
      <c r="E83" s="16" t="s">
        <v>472</v>
      </c>
      <c r="F83" s="16" t="s">
        <v>52</v>
      </c>
      <c r="G83" s="19">
        <v>21.1</v>
      </c>
      <c r="H83" s="18">
        <v>3</v>
      </c>
      <c r="I83" s="20">
        <v>0.051053240740740746</v>
      </c>
      <c r="J83" s="21">
        <f t="shared" si="2"/>
        <v>17.220584901382907</v>
      </c>
      <c r="K83" s="16"/>
      <c r="L83" s="18"/>
      <c r="M83" s="18"/>
    </row>
    <row r="84" spans="1:13" ht="12.75">
      <c r="A84">
        <f t="shared" si="3"/>
        <v>82</v>
      </c>
      <c r="B84" s="85">
        <v>37737</v>
      </c>
      <c r="C84" s="16" t="s">
        <v>25</v>
      </c>
      <c r="D84" s="16"/>
      <c r="E84" s="16" t="s">
        <v>472</v>
      </c>
      <c r="F84" s="16" t="s">
        <v>52</v>
      </c>
      <c r="G84" s="19">
        <v>8.2</v>
      </c>
      <c r="H84" s="18">
        <v>27</v>
      </c>
      <c r="I84" s="20">
        <v>0.019733796296296298</v>
      </c>
      <c r="J84" s="21">
        <f t="shared" si="2"/>
        <v>17.313782991202345</v>
      </c>
      <c r="K84" s="16" t="s">
        <v>270</v>
      </c>
      <c r="L84" s="18"/>
      <c r="M84" s="18"/>
    </row>
    <row r="85" spans="1:13" ht="12.75">
      <c r="A85">
        <f t="shared" si="3"/>
        <v>83</v>
      </c>
      <c r="B85" s="85">
        <v>37763</v>
      </c>
      <c r="C85" s="16" t="s">
        <v>51</v>
      </c>
      <c r="D85" s="16"/>
      <c r="E85" s="16" t="s">
        <v>472</v>
      </c>
      <c r="F85" s="16" t="s">
        <v>52</v>
      </c>
      <c r="G85" s="19">
        <v>3.2</v>
      </c>
      <c r="H85" s="18">
        <v>3</v>
      </c>
      <c r="I85" s="20">
        <v>0.006608796296296297</v>
      </c>
      <c r="J85" s="21">
        <f t="shared" si="2"/>
        <v>20.175131348511382</v>
      </c>
      <c r="K85" s="16" t="s">
        <v>416</v>
      </c>
      <c r="L85" s="18"/>
      <c r="M85" s="18"/>
    </row>
    <row r="86" spans="1:13" ht="12.75">
      <c r="A86">
        <f t="shared" si="3"/>
        <v>84</v>
      </c>
      <c r="B86" s="85">
        <v>37913</v>
      </c>
      <c r="C86" s="16" t="s">
        <v>423</v>
      </c>
      <c r="D86" s="16"/>
      <c r="E86" s="16" t="s">
        <v>472</v>
      </c>
      <c r="F86" s="16" t="s">
        <v>50</v>
      </c>
      <c r="G86" s="19">
        <v>42.2</v>
      </c>
      <c r="H86" s="18">
        <v>5</v>
      </c>
      <c r="I86" s="20">
        <v>0.13641203703703705</v>
      </c>
      <c r="J86" s="21">
        <f t="shared" si="2"/>
        <v>12.889869336500933</v>
      </c>
      <c r="K86" s="16" t="s">
        <v>424</v>
      </c>
      <c r="L86" s="18"/>
      <c r="M86" s="18"/>
    </row>
    <row r="87" spans="1:13" ht="12.75">
      <c r="A87">
        <f t="shared" si="3"/>
        <v>85</v>
      </c>
      <c r="B87" s="85">
        <v>37975</v>
      </c>
      <c r="C87" s="16" t="s">
        <v>411</v>
      </c>
      <c r="D87" s="16"/>
      <c r="E87" s="16" t="s">
        <v>472</v>
      </c>
      <c r="F87" s="16" t="s">
        <v>52</v>
      </c>
      <c r="G87" s="19">
        <v>10</v>
      </c>
      <c r="H87" s="16">
        <v>1</v>
      </c>
      <c r="I87" s="20">
        <v>0.024120370370370372</v>
      </c>
      <c r="J87" s="21">
        <f t="shared" si="2"/>
        <v>17.274472168905948</v>
      </c>
      <c r="K87" s="16" t="s">
        <v>476</v>
      </c>
      <c r="L87" s="18"/>
      <c r="M87" s="18"/>
    </row>
    <row r="88" spans="1:13" ht="12.75">
      <c r="A88">
        <f t="shared" si="3"/>
        <v>86</v>
      </c>
      <c r="B88" s="85">
        <v>37981</v>
      </c>
      <c r="C88" s="16" t="s">
        <v>23</v>
      </c>
      <c r="D88" s="16"/>
      <c r="E88" s="16" t="s">
        <v>472</v>
      </c>
      <c r="F88" s="16" t="s">
        <v>52</v>
      </c>
      <c r="G88" s="19">
        <v>10</v>
      </c>
      <c r="H88" s="16">
        <v>1</v>
      </c>
      <c r="I88" s="20">
        <v>0.02355324074074074</v>
      </c>
      <c r="J88" s="21">
        <f t="shared" si="2"/>
        <v>17.69041769041769</v>
      </c>
      <c r="K88" s="16" t="s">
        <v>73</v>
      </c>
      <c r="L88" s="18"/>
      <c r="M88" s="18"/>
    </row>
    <row r="89" spans="1:13" ht="12.75">
      <c r="A89">
        <f t="shared" si="3"/>
        <v>87</v>
      </c>
      <c r="B89" s="85">
        <v>37997</v>
      </c>
      <c r="C89" s="16" t="s">
        <v>338</v>
      </c>
      <c r="D89" s="16"/>
      <c r="E89" s="16" t="s">
        <v>472</v>
      </c>
      <c r="F89" s="16" t="s">
        <v>50</v>
      </c>
      <c r="G89" s="19">
        <v>21.1</v>
      </c>
      <c r="H89" s="16">
        <v>86</v>
      </c>
      <c r="I89" s="20">
        <v>0.054953703703703706</v>
      </c>
      <c r="J89" s="21">
        <f t="shared" si="2"/>
        <v>15.998315080033699</v>
      </c>
      <c r="K89" s="16"/>
      <c r="L89" s="18"/>
      <c r="M89" s="18"/>
    </row>
    <row r="90" spans="1:13" ht="12.75">
      <c r="A90">
        <f t="shared" si="3"/>
        <v>88</v>
      </c>
      <c r="B90" s="85">
        <v>38067</v>
      </c>
      <c r="C90" s="16" t="s">
        <v>88</v>
      </c>
      <c r="D90" s="16"/>
      <c r="E90" s="16" t="s">
        <v>472</v>
      </c>
      <c r="F90" s="16" t="s">
        <v>52</v>
      </c>
      <c r="G90" s="19">
        <v>16.1</v>
      </c>
      <c r="H90" s="18">
        <v>1</v>
      </c>
      <c r="I90" s="20">
        <v>0.0372337962962963</v>
      </c>
      <c r="J90" s="21">
        <f t="shared" si="2"/>
        <v>18.016785825303078</v>
      </c>
      <c r="K90" s="16" t="s">
        <v>427</v>
      </c>
      <c r="L90" s="18"/>
      <c r="M90" s="18"/>
    </row>
    <row r="91" spans="1:13" ht="12.75">
      <c r="A91">
        <f t="shared" si="3"/>
        <v>89</v>
      </c>
      <c r="B91" s="85">
        <v>38101</v>
      </c>
      <c r="C91" s="16" t="s">
        <v>25</v>
      </c>
      <c r="D91" s="16"/>
      <c r="E91" s="16" t="s">
        <v>472</v>
      </c>
      <c r="F91" s="16" t="s">
        <v>52</v>
      </c>
      <c r="G91" s="19">
        <v>8.2</v>
      </c>
      <c r="H91" s="18">
        <v>16</v>
      </c>
      <c r="I91" s="20">
        <v>0.019108796296296294</v>
      </c>
      <c r="J91" s="21">
        <f t="shared" si="2"/>
        <v>17.880072683222288</v>
      </c>
      <c r="K91" s="16" t="s">
        <v>270</v>
      </c>
      <c r="L91" s="18"/>
      <c r="M91" s="18"/>
    </row>
    <row r="92" spans="1:13" ht="12.75">
      <c r="A92">
        <f t="shared" si="3"/>
        <v>90</v>
      </c>
      <c r="B92" s="85">
        <v>38107</v>
      </c>
      <c r="C92" s="16" t="s">
        <v>111</v>
      </c>
      <c r="D92" s="16"/>
      <c r="E92" s="16" t="s">
        <v>472</v>
      </c>
      <c r="F92" s="16" t="s">
        <v>52</v>
      </c>
      <c r="G92" s="19">
        <v>17.7</v>
      </c>
      <c r="H92" s="18">
        <v>13</v>
      </c>
      <c r="I92" s="20">
        <v>0.044814814814814814</v>
      </c>
      <c r="J92" s="21">
        <f t="shared" si="2"/>
        <v>16.456611570247933</v>
      </c>
      <c r="K92" s="16" t="s">
        <v>433</v>
      </c>
      <c r="L92" s="18"/>
      <c r="M92" s="18"/>
    </row>
    <row r="93" spans="1:13" ht="12.75">
      <c r="A93">
        <f t="shared" si="3"/>
        <v>91</v>
      </c>
      <c r="B93" s="85">
        <v>38123</v>
      </c>
      <c r="C93" s="16" t="s">
        <v>25</v>
      </c>
      <c r="D93" s="16"/>
      <c r="E93" s="16" t="s">
        <v>472</v>
      </c>
      <c r="F93" s="16" t="s">
        <v>52</v>
      </c>
      <c r="G93" s="19">
        <v>10</v>
      </c>
      <c r="H93" s="18">
        <v>2</v>
      </c>
      <c r="I93" s="20">
        <v>0.023067129629629632</v>
      </c>
      <c r="J93" s="21">
        <f t="shared" si="2"/>
        <v>18.06322127446061</v>
      </c>
      <c r="K93" s="16"/>
      <c r="L93" s="18"/>
      <c r="M93" s="18"/>
    </row>
    <row r="94" spans="1:13" ht="12.75">
      <c r="A94">
        <f t="shared" si="3"/>
        <v>92</v>
      </c>
      <c r="B94" s="85">
        <v>38158</v>
      </c>
      <c r="C94" s="16" t="s">
        <v>92</v>
      </c>
      <c r="D94" s="16"/>
      <c r="E94" s="16" t="s">
        <v>472</v>
      </c>
      <c r="F94" s="16" t="s">
        <v>52</v>
      </c>
      <c r="G94" s="19">
        <v>30</v>
      </c>
      <c r="H94" s="18">
        <v>1</v>
      </c>
      <c r="I94" s="24">
        <v>0.07944444444444444</v>
      </c>
      <c r="J94" s="21">
        <f t="shared" si="2"/>
        <v>15.734265734265733</v>
      </c>
      <c r="K94" s="16" t="s">
        <v>434</v>
      </c>
      <c r="L94" s="18"/>
      <c r="M94" s="18"/>
    </row>
    <row r="95" spans="1:13" ht="12.75">
      <c r="A95">
        <f t="shared" si="3"/>
        <v>93</v>
      </c>
      <c r="B95" s="85">
        <v>38361</v>
      </c>
      <c r="C95" s="16" t="s">
        <v>338</v>
      </c>
      <c r="D95" s="16"/>
      <c r="E95" s="16" t="s">
        <v>472</v>
      </c>
      <c r="F95" s="16" t="s">
        <v>50</v>
      </c>
      <c r="G95" s="19">
        <v>21.1</v>
      </c>
      <c r="H95" s="18">
        <v>55</v>
      </c>
      <c r="I95" s="20">
        <v>0.05179398148148148</v>
      </c>
      <c r="J95" s="21">
        <f t="shared" si="2"/>
        <v>16.974301675977653</v>
      </c>
      <c r="K95" s="16"/>
      <c r="L95" s="18"/>
      <c r="M95" s="18"/>
    </row>
    <row r="96" spans="1:13" ht="12.75">
      <c r="A96">
        <f t="shared" si="3"/>
        <v>94</v>
      </c>
      <c r="B96" s="85">
        <v>38402</v>
      </c>
      <c r="C96" s="16" t="s">
        <v>437</v>
      </c>
      <c r="D96" s="16"/>
      <c r="E96" s="16" t="s">
        <v>472</v>
      </c>
      <c r="F96" s="16" t="s">
        <v>52</v>
      </c>
      <c r="G96" s="19">
        <v>21.1</v>
      </c>
      <c r="H96" s="18">
        <v>4</v>
      </c>
      <c r="I96" s="20">
        <v>0.050208333333333334</v>
      </c>
      <c r="J96" s="21">
        <f t="shared" si="2"/>
        <v>17.510373443983404</v>
      </c>
      <c r="K96" s="16"/>
      <c r="L96" s="18"/>
      <c r="M96" s="18"/>
    </row>
    <row r="97" spans="1:13" ht="12.75">
      <c r="A97">
        <f t="shared" si="3"/>
        <v>95</v>
      </c>
      <c r="B97" s="85">
        <v>38638</v>
      </c>
      <c r="C97" s="16" t="s">
        <v>450</v>
      </c>
      <c r="D97" s="16"/>
      <c r="E97" s="16" t="s">
        <v>472</v>
      </c>
      <c r="F97" s="16" t="s">
        <v>52</v>
      </c>
      <c r="G97" s="19">
        <v>10</v>
      </c>
      <c r="H97" s="18">
        <v>10</v>
      </c>
      <c r="I97" s="20">
        <v>0.025381944444444443</v>
      </c>
      <c r="J97" s="21">
        <f t="shared" si="2"/>
        <v>16.415868673050618</v>
      </c>
      <c r="K97" s="16"/>
      <c r="L97" s="18"/>
      <c r="M97" s="18"/>
    </row>
    <row r="98" spans="1:13" ht="12.75">
      <c r="A98">
        <f t="shared" si="3"/>
        <v>96</v>
      </c>
      <c r="B98" s="85">
        <v>38703</v>
      </c>
      <c r="C98" s="16" t="s">
        <v>411</v>
      </c>
      <c r="D98" s="16"/>
      <c r="E98" s="16" t="s">
        <v>472</v>
      </c>
      <c r="F98" s="16" t="s">
        <v>52</v>
      </c>
      <c r="G98" s="19">
        <v>10</v>
      </c>
      <c r="H98" s="18">
        <v>4</v>
      </c>
      <c r="I98" s="20">
        <v>0.024930555555555553</v>
      </c>
      <c r="J98" s="21">
        <f t="shared" si="2"/>
        <v>16.713091922005574</v>
      </c>
      <c r="K98" s="16"/>
      <c r="L98" s="18"/>
      <c r="M98" s="18"/>
    </row>
    <row r="99" spans="1:13" ht="12.75">
      <c r="A99">
        <f t="shared" si="3"/>
        <v>97</v>
      </c>
      <c r="B99" s="85">
        <v>38855</v>
      </c>
      <c r="C99" s="16" t="s">
        <v>51</v>
      </c>
      <c r="D99" s="16"/>
      <c r="E99" s="16" t="s">
        <v>472</v>
      </c>
      <c r="F99" s="16" t="s">
        <v>52</v>
      </c>
      <c r="G99" s="19">
        <v>3.2</v>
      </c>
      <c r="H99" s="16">
        <v>9</v>
      </c>
      <c r="I99" s="20">
        <v>0.007141203703703704</v>
      </c>
      <c r="J99" s="21">
        <f t="shared" si="2"/>
        <v>18.6709886547812</v>
      </c>
      <c r="K99" s="16" t="s">
        <v>416</v>
      </c>
      <c r="L99" s="18"/>
      <c r="M99" s="18"/>
    </row>
    <row r="100" spans="1:11" ht="12.75">
      <c r="A100">
        <v>98</v>
      </c>
      <c r="B100" s="84">
        <v>39077</v>
      </c>
      <c r="C100" s="16" t="s">
        <v>23</v>
      </c>
      <c r="D100" s="16"/>
      <c r="E100" s="16" t="s">
        <v>472</v>
      </c>
      <c r="F100" s="16" t="s">
        <v>52</v>
      </c>
      <c r="G100" s="15">
        <v>10</v>
      </c>
      <c r="H100">
        <v>4</v>
      </c>
      <c r="I100" s="4">
        <v>0.025752314814814815</v>
      </c>
      <c r="J100" s="21">
        <f t="shared" si="2"/>
        <v>16.179775280898877</v>
      </c>
      <c r="K100" s="16" t="s">
        <v>73</v>
      </c>
    </row>
    <row r="101" spans="1:11" ht="12.75">
      <c r="A101">
        <f t="shared" si="3"/>
        <v>99</v>
      </c>
      <c r="B101" s="84">
        <v>39166</v>
      </c>
      <c r="C101" s="16" t="s">
        <v>88</v>
      </c>
      <c r="D101" s="16"/>
      <c r="E101" s="16" t="s">
        <v>472</v>
      </c>
      <c r="F101" s="16" t="s">
        <v>52</v>
      </c>
      <c r="G101" s="15">
        <v>16.1</v>
      </c>
      <c r="H101">
        <v>13</v>
      </c>
      <c r="I101" s="4">
        <v>0.0396875</v>
      </c>
      <c r="J101" s="13">
        <f t="shared" si="2"/>
        <v>16.902887139107612</v>
      </c>
      <c r="K101" s="16" t="s">
        <v>427</v>
      </c>
    </row>
    <row r="102" spans="1:11" ht="12.75">
      <c r="A102">
        <f t="shared" si="3"/>
        <v>100</v>
      </c>
      <c r="B102" s="84">
        <v>39197</v>
      </c>
      <c r="C102" s="16" t="s">
        <v>25</v>
      </c>
      <c r="D102" s="16"/>
      <c r="E102" s="16" t="s">
        <v>472</v>
      </c>
      <c r="F102" s="16" t="s">
        <v>52</v>
      </c>
      <c r="G102" s="15">
        <v>8.2</v>
      </c>
      <c r="H102">
        <v>18</v>
      </c>
      <c r="I102" s="4">
        <v>0.019918981481481482</v>
      </c>
      <c r="J102" s="13">
        <f t="shared" si="2"/>
        <v>17.15281812899477</v>
      </c>
      <c r="K102" s="16" t="s">
        <v>270</v>
      </c>
    </row>
    <row r="103" spans="1:11" ht="12.75">
      <c r="A103">
        <f t="shared" si="3"/>
        <v>101</v>
      </c>
      <c r="B103" s="84">
        <v>39226</v>
      </c>
      <c r="C103" s="16" t="s">
        <v>51</v>
      </c>
      <c r="D103" s="16"/>
      <c r="E103" s="16" t="s">
        <v>472</v>
      </c>
      <c r="F103" s="16" t="s">
        <v>52</v>
      </c>
      <c r="G103" s="15">
        <v>3.2</v>
      </c>
      <c r="H103">
        <v>19</v>
      </c>
      <c r="I103" s="4">
        <v>0.007256944444444444</v>
      </c>
      <c r="J103" s="13">
        <f t="shared" si="2"/>
        <v>18.373205741626794</v>
      </c>
      <c r="K103" s="16" t="s">
        <v>416</v>
      </c>
    </row>
    <row r="104" spans="1:11" ht="12.75">
      <c r="A104">
        <f t="shared" si="3"/>
        <v>102</v>
      </c>
      <c r="B104" s="84">
        <v>39228</v>
      </c>
      <c r="C104" s="16" t="s">
        <v>51</v>
      </c>
      <c r="D104" s="16"/>
      <c r="E104" s="16" t="s">
        <v>472</v>
      </c>
      <c r="F104" s="16" t="s">
        <v>70</v>
      </c>
      <c r="G104" s="15">
        <v>1.609</v>
      </c>
      <c r="H104">
        <v>2</v>
      </c>
      <c r="I104" s="4">
        <v>0.002789351851851852</v>
      </c>
      <c r="J104" s="13">
        <f t="shared" si="2"/>
        <v>24.034854771784232</v>
      </c>
      <c r="K104" s="16" t="s">
        <v>589</v>
      </c>
    </row>
    <row r="105" spans="1:11" ht="12.75">
      <c r="A105">
        <f t="shared" si="3"/>
        <v>103</v>
      </c>
      <c r="B105" s="84">
        <v>39306</v>
      </c>
      <c r="C105" s="16" t="s">
        <v>592</v>
      </c>
      <c r="D105" s="16"/>
      <c r="E105" s="16" t="s">
        <v>472</v>
      </c>
      <c r="F105" s="16" t="s">
        <v>52</v>
      </c>
      <c r="G105" s="15">
        <v>10</v>
      </c>
      <c r="H105">
        <v>10</v>
      </c>
      <c r="I105" s="4">
        <v>0.024918981481481483</v>
      </c>
      <c r="J105" s="13">
        <f t="shared" si="2"/>
        <v>16.72085462145843</v>
      </c>
      <c r="K105" s="16"/>
    </row>
    <row r="106" spans="1:11" ht="12.75">
      <c r="A106">
        <f t="shared" si="3"/>
        <v>104</v>
      </c>
      <c r="B106" s="84">
        <v>39341</v>
      </c>
      <c r="C106" s="16" t="s">
        <v>25</v>
      </c>
      <c r="D106" s="16"/>
      <c r="E106" s="16" t="s">
        <v>472</v>
      </c>
      <c r="F106" s="16" t="s">
        <v>52</v>
      </c>
      <c r="G106" s="15">
        <v>16.1</v>
      </c>
      <c r="H106">
        <v>7</v>
      </c>
      <c r="I106" s="4">
        <v>0.04064814814814815</v>
      </c>
      <c r="J106" s="13">
        <f t="shared" si="2"/>
        <v>16.50341685649203</v>
      </c>
      <c r="K106" s="16" t="s">
        <v>396</v>
      </c>
    </row>
    <row r="107" spans="1:11" ht="12.75">
      <c r="A107">
        <f t="shared" si="3"/>
        <v>105</v>
      </c>
      <c r="B107" s="84">
        <v>39369</v>
      </c>
      <c r="C107" s="16" t="s">
        <v>94</v>
      </c>
      <c r="D107" s="16"/>
      <c r="E107" s="16" t="s">
        <v>472</v>
      </c>
      <c r="F107" s="16" t="s">
        <v>52</v>
      </c>
      <c r="G107" s="15">
        <v>42.2</v>
      </c>
      <c r="H107">
        <v>52</v>
      </c>
      <c r="I107" s="4">
        <v>0.11446759259259259</v>
      </c>
      <c r="J107" s="13">
        <f t="shared" si="2"/>
        <v>15.360970677451972</v>
      </c>
      <c r="K107" s="16" t="s">
        <v>480</v>
      </c>
    </row>
    <row r="108" spans="1:11" ht="12.75">
      <c r="A108">
        <f t="shared" si="3"/>
        <v>106</v>
      </c>
      <c r="B108" s="84">
        <v>39438</v>
      </c>
      <c r="C108" s="16" t="s">
        <v>411</v>
      </c>
      <c r="D108" s="16"/>
      <c r="E108" s="16" t="s">
        <v>472</v>
      </c>
      <c r="F108" s="16" t="s">
        <v>52</v>
      </c>
      <c r="G108" s="15">
        <v>10</v>
      </c>
      <c r="H108">
        <v>1</v>
      </c>
      <c r="I108" s="4">
        <v>0.024166666666666666</v>
      </c>
      <c r="J108" s="13">
        <f t="shared" si="2"/>
        <v>17.24137931034483</v>
      </c>
      <c r="K108" s="16"/>
    </row>
    <row r="109" spans="1:11" ht="12.75">
      <c r="A109">
        <f t="shared" si="3"/>
        <v>107</v>
      </c>
      <c r="B109" s="84">
        <v>39537</v>
      </c>
      <c r="C109" s="16" t="s">
        <v>88</v>
      </c>
      <c r="D109" s="16"/>
      <c r="E109" s="16" t="s">
        <v>472</v>
      </c>
      <c r="F109" s="16" t="s">
        <v>52</v>
      </c>
      <c r="G109" s="15">
        <v>8</v>
      </c>
      <c r="H109">
        <v>8</v>
      </c>
      <c r="I109" s="4">
        <v>0.020011574074074074</v>
      </c>
      <c r="J109" s="13">
        <f t="shared" si="2"/>
        <v>16.657027183342972</v>
      </c>
      <c r="K109" s="16" t="s">
        <v>427</v>
      </c>
    </row>
    <row r="110" spans="1:11" ht="12.75">
      <c r="A110">
        <f t="shared" si="3"/>
        <v>108</v>
      </c>
      <c r="B110" s="84">
        <v>39590</v>
      </c>
      <c r="C110" s="16" t="s">
        <v>51</v>
      </c>
      <c r="D110" s="16"/>
      <c r="E110" s="16" t="s">
        <v>472</v>
      </c>
      <c r="F110" s="16" t="s">
        <v>52</v>
      </c>
      <c r="G110" s="15">
        <v>3.2</v>
      </c>
      <c r="H110">
        <v>27</v>
      </c>
      <c r="I110" s="4">
        <v>0.007523148148148148</v>
      </c>
      <c r="J110" s="13">
        <f t="shared" si="2"/>
        <v>17.723076923076924</v>
      </c>
      <c r="K110" s="16" t="s">
        <v>416</v>
      </c>
    </row>
    <row r="111" spans="1:11" ht="12.75">
      <c r="A111">
        <f t="shared" si="3"/>
        <v>109</v>
      </c>
      <c r="B111" s="84">
        <v>39592</v>
      </c>
      <c r="C111" s="16" t="s">
        <v>51</v>
      </c>
      <c r="D111" s="16"/>
      <c r="E111" s="16" t="s">
        <v>472</v>
      </c>
      <c r="F111" s="16" t="s">
        <v>70</v>
      </c>
      <c r="G111" s="15">
        <v>1.609</v>
      </c>
      <c r="H111">
        <v>3</v>
      </c>
      <c r="I111" s="4">
        <v>0.002835648148148148</v>
      </c>
      <c r="J111" s="13">
        <f t="shared" si="2"/>
        <v>23.642448979591837</v>
      </c>
      <c r="K111" s="16" t="s">
        <v>589</v>
      </c>
    </row>
    <row r="112" spans="1:11" ht="12.75">
      <c r="A112">
        <f t="shared" si="3"/>
        <v>110</v>
      </c>
      <c r="B112" s="84">
        <v>39663</v>
      </c>
      <c r="C112" s="16" t="s">
        <v>592</v>
      </c>
      <c r="D112" s="16"/>
      <c r="E112" s="16" t="s">
        <v>472</v>
      </c>
      <c r="F112" s="16" t="s">
        <v>52</v>
      </c>
      <c r="G112" s="15">
        <v>10</v>
      </c>
      <c r="H112">
        <v>16</v>
      </c>
      <c r="I112" s="4">
        <v>0.02619212962962963</v>
      </c>
      <c r="J112" s="13">
        <f t="shared" si="2"/>
        <v>15.908086610693768</v>
      </c>
      <c r="K112" s="16"/>
    </row>
    <row r="113" spans="1:11" ht="12.75">
      <c r="A113">
        <f t="shared" si="3"/>
        <v>111</v>
      </c>
      <c r="B113" s="84">
        <v>39802</v>
      </c>
      <c r="C113" s="16" t="s">
        <v>411</v>
      </c>
      <c r="D113" s="16"/>
      <c r="E113" s="16" t="s">
        <v>472</v>
      </c>
      <c r="F113" s="16" t="s">
        <v>52</v>
      </c>
      <c r="G113" s="15">
        <v>10</v>
      </c>
      <c r="H113">
        <v>4</v>
      </c>
      <c r="I113" s="4">
        <v>0.025590277777777778</v>
      </c>
      <c r="J113" s="13">
        <f t="shared" si="2"/>
        <v>16.28222523744912</v>
      </c>
      <c r="K113" s="16"/>
    </row>
    <row r="114" spans="1:11" ht="12.75">
      <c r="A114">
        <f t="shared" si="3"/>
        <v>112</v>
      </c>
      <c r="B114" s="84">
        <v>39808</v>
      </c>
      <c r="C114" s="16" t="s">
        <v>23</v>
      </c>
      <c r="D114" s="16"/>
      <c r="E114" s="16" t="s">
        <v>472</v>
      </c>
      <c r="F114" s="16" t="s">
        <v>52</v>
      </c>
      <c r="G114" s="15">
        <v>10</v>
      </c>
      <c r="H114">
        <v>3</v>
      </c>
      <c r="I114" s="4">
        <v>0.02521990740740741</v>
      </c>
      <c r="J114" s="13">
        <f t="shared" si="2"/>
        <v>16.521340064249657</v>
      </c>
      <c r="K114" s="16" t="s">
        <v>73</v>
      </c>
    </row>
    <row r="115" spans="1:11" ht="12.75">
      <c r="A115">
        <f t="shared" si="3"/>
        <v>113</v>
      </c>
      <c r="B115" s="84">
        <v>39894</v>
      </c>
      <c r="C115" s="16" t="s">
        <v>88</v>
      </c>
      <c r="D115" s="16"/>
      <c r="E115" s="16" t="s">
        <v>472</v>
      </c>
      <c r="F115" s="16" t="s">
        <v>52</v>
      </c>
      <c r="G115" s="15">
        <v>8</v>
      </c>
      <c r="H115">
        <v>7</v>
      </c>
      <c r="I115" s="4">
        <v>0.020439814814814817</v>
      </c>
      <c r="J115" s="13">
        <f t="shared" si="2"/>
        <v>16.308040770101922</v>
      </c>
      <c r="K115" s="16" t="s">
        <v>427</v>
      </c>
    </row>
    <row r="116" spans="1:11" ht="12.75">
      <c r="A116">
        <f t="shared" si="3"/>
        <v>114</v>
      </c>
      <c r="B116" s="84">
        <v>39961</v>
      </c>
      <c r="C116" s="16" t="s">
        <v>51</v>
      </c>
      <c r="D116" s="16"/>
      <c r="E116" s="16" t="s">
        <v>472</v>
      </c>
      <c r="F116" s="16" t="s">
        <v>52</v>
      </c>
      <c r="G116" s="15">
        <v>3.2</v>
      </c>
      <c r="H116">
        <v>23</v>
      </c>
      <c r="I116" s="4">
        <v>0.007465277777777778</v>
      </c>
      <c r="J116" s="13">
        <f t="shared" si="2"/>
        <v>17.86046511627907</v>
      </c>
      <c r="K116" s="16" t="s">
        <v>416</v>
      </c>
    </row>
    <row r="117" spans="1:11" ht="12.75">
      <c r="A117">
        <f t="shared" si="3"/>
        <v>115</v>
      </c>
      <c r="B117" s="84">
        <v>39965</v>
      </c>
      <c r="C117" s="16" t="s">
        <v>51</v>
      </c>
      <c r="D117" s="16"/>
      <c r="E117" s="16" t="s">
        <v>472</v>
      </c>
      <c r="F117" s="16" t="s">
        <v>70</v>
      </c>
      <c r="G117" s="15">
        <v>1.609</v>
      </c>
      <c r="H117">
        <v>3</v>
      </c>
      <c r="I117" s="4">
        <v>0.002847222222222222</v>
      </c>
      <c r="J117" s="13">
        <f t="shared" si="2"/>
        <v>23.546341463414635</v>
      </c>
      <c r="K117" s="16" t="s">
        <v>589</v>
      </c>
    </row>
    <row r="118" spans="1:11" ht="12.75">
      <c r="A118">
        <f t="shared" si="3"/>
        <v>116</v>
      </c>
      <c r="B118" s="84">
        <v>39971</v>
      </c>
      <c r="C118" s="16" t="s">
        <v>599</v>
      </c>
      <c r="D118" s="16"/>
      <c r="E118" s="16" t="s">
        <v>472</v>
      </c>
      <c r="F118" s="16" t="s">
        <v>52</v>
      </c>
      <c r="G118" s="15">
        <v>8</v>
      </c>
      <c r="H118">
        <v>9</v>
      </c>
      <c r="I118" s="4">
        <v>0.01982638888888889</v>
      </c>
      <c r="J118" s="13">
        <f t="shared" si="2"/>
        <v>16.81260945709282</v>
      </c>
      <c r="K118" s="16" t="s">
        <v>600</v>
      </c>
    </row>
    <row r="119" spans="1:11" ht="12.75">
      <c r="A119">
        <f t="shared" si="3"/>
        <v>117</v>
      </c>
      <c r="B119" s="84">
        <v>40063</v>
      </c>
      <c r="C119" s="16" t="s">
        <v>599</v>
      </c>
      <c r="D119" s="16"/>
      <c r="E119" s="16" t="s">
        <v>472</v>
      </c>
      <c r="F119" s="16" t="s">
        <v>52</v>
      </c>
      <c r="G119" s="15">
        <v>4</v>
      </c>
      <c r="H119">
        <v>9</v>
      </c>
      <c r="I119" s="4">
        <v>0.009976851851851853</v>
      </c>
      <c r="J119" s="13">
        <f t="shared" si="2"/>
        <v>16.70533642691415</v>
      </c>
      <c r="K119" s="16" t="s">
        <v>601</v>
      </c>
    </row>
    <row r="120" spans="1:11" ht="12.75">
      <c r="A120">
        <f t="shared" si="3"/>
        <v>118</v>
      </c>
      <c r="B120" s="84">
        <v>40034</v>
      </c>
      <c r="C120" s="16" t="s">
        <v>592</v>
      </c>
      <c r="D120" s="16"/>
      <c r="E120" s="16" t="s">
        <v>472</v>
      </c>
      <c r="F120" s="16" t="s">
        <v>52</v>
      </c>
      <c r="G120" s="15">
        <v>5</v>
      </c>
      <c r="H120">
        <v>12</v>
      </c>
      <c r="I120" s="4">
        <v>0.013194444444444444</v>
      </c>
      <c r="J120" s="13">
        <f t="shared" si="2"/>
        <v>15.789473684210527</v>
      </c>
      <c r="K120" s="16"/>
    </row>
    <row r="121" spans="1:11" ht="12.75">
      <c r="A121">
        <f t="shared" si="3"/>
        <v>119</v>
      </c>
      <c r="B121" s="84">
        <v>40166</v>
      </c>
      <c r="C121" s="16" t="s">
        <v>411</v>
      </c>
      <c r="D121" s="16"/>
      <c r="E121" s="16" t="s">
        <v>472</v>
      </c>
      <c r="F121" s="16" t="s">
        <v>52</v>
      </c>
      <c r="G121" s="15">
        <v>10</v>
      </c>
      <c r="H121">
        <v>4</v>
      </c>
      <c r="I121" s="4">
        <v>0.026111111111111113</v>
      </c>
      <c r="J121" s="13">
        <f t="shared" si="2"/>
        <v>15.957446808510637</v>
      </c>
      <c r="K121" s="16"/>
    </row>
    <row r="122" spans="1:11" ht="12.75">
      <c r="A122">
        <f t="shared" si="3"/>
        <v>120</v>
      </c>
      <c r="B122" s="84">
        <v>40325</v>
      </c>
      <c r="C122" s="16" t="s">
        <v>51</v>
      </c>
      <c r="D122" s="16"/>
      <c r="E122" s="16" t="s">
        <v>472</v>
      </c>
      <c r="F122" s="16" t="s">
        <v>52</v>
      </c>
      <c r="G122" s="15">
        <v>3.2</v>
      </c>
      <c r="H122">
        <v>26</v>
      </c>
      <c r="I122" s="4">
        <v>0.007465277777777778</v>
      </c>
      <c r="J122" s="13">
        <f t="shared" si="2"/>
        <v>17.86046511627907</v>
      </c>
      <c r="K122" s="16" t="s">
        <v>416</v>
      </c>
    </row>
    <row r="123" spans="1:11" ht="12.75">
      <c r="A123">
        <f t="shared" si="3"/>
        <v>121</v>
      </c>
      <c r="B123" s="84">
        <v>40328</v>
      </c>
      <c r="C123" s="16" t="s">
        <v>51</v>
      </c>
      <c r="D123" s="16"/>
      <c r="E123" s="16" t="s">
        <v>472</v>
      </c>
      <c r="F123" s="16" t="s">
        <v>70</v>
      </c>
      <c r="G123" s="15">
        <v>1.609</v>
      </c>
      <c r="H123">
        <v>3</v>
      </c>
      <c r="I123" s="4">
        <v>0.002962962962962963</v>
      </c>
      <c r="J123" s="13">
        <f t="shared" si="2"/>
        <v>22.6265625</v>
      </c>
      <c r="K123" s="16" t="s">
        <v>589</v>
      </c>
    </row>
    <row r="124" spans="1:11" ht="12.75">
      <c r="A124">
        <f t="shared" si="3"/>
      </c>
      <c r="C124" s="16"/>
      <c r="D124" s="16"/>
      <c r="E124" s="16"/>
      <c r="F124" s="16"/>
      <c r="K124" s="16"/>
    </row>
    <row r="125" spans="1:11" ht="12.75">
      <c r="A125">
        <f t="shared" si="3"/>
      </c>
      <c r="C125" s="16"/>
      <c r="D125" s="16"/>
      <c r="E125" s="16"/>
      <c r="F125" s="16"/>
      <c r="K125" s="16"/>
    </row>
    <row r="126" spans="1:12" ht="12.75">
      <c r="A126">
        <f>IF(B126=0,"",ROW(A101))</f>
      </c>
      <c r="G126" s="15">
        <f>SUM(G3:G125)</f>
        <v>1394.2050000000002</v>
      </c>
      <c r="H126" s="6">
        <f>COUNTIF(H3:H125,"1")</f>
        <v>12</v>
      </c>
      <c r="K126">
        <f>COUNTIF(K3:K125,"barend de matterloop")</f>
        <v>11</v>
      </c>
      <c r="L126" t="s">
        <v>556</v>
      </c>
    </row>
    <row r="127" spans="1:12" ht="12.75">
      <c r="A127">
        <f t="shared" si="3"/>
      </c>
      <c r="G127" s="15">
        <f>G126/A99</f>
        <v>14.373247422680414</v>
      </c>
      <c r="H127" s="7">
        <f>COUNTIF(H3:H125,"2")</f>
        <v>8</v>
      </c>
      <c r="K127">
        <f>COUNTIF(K3:K125,"Haaksbergse Mijlenloop")</f>
        <v>6</v>
      </c>
      <c r="L127" t="s">
        <v>597</v>
      </c>
    </row>
    <row r="128" spans="1:12" ht="12.75">
      <c r="A128">
        <f t="shared" si="3"/>
      </c>
      <c r="H128" s="8">
        <f>COUNTIF(H3:H125,"3")</f>
        <v>7</v>
      </c>
      <c r="K128">
        <f>COUNTIF(K3:K125,"Thales Dubbele Mijl")</f>
        <v>6</v>
      </c>
      <c r="L128" t="s">
        <v>602</v>
      </c>
    </row>
    <row r="129" spans="1:8" ht="12.75">
      <c r="A129">
        <f t="shared" si="3"/>
      </c>
      <c r="G129" t="s">
        <v>223</v>
      </c>
      <c r="H129">
        <f>SUM(H126:H128)</f>
        <v>27</v>
      </c>
    </row>
    <row r="130" ht="12.75">
      <c r="A130">
        <f t="shared" si="3"/>
      </c>
    </row>
    <row r="131" ht="12.75">
      <c r="A131">
        <f t="shared" si="3"/>
      </c>
    </row>
    <row r="132" ht="12.75">
      <c r="A132">
        <f t="shared" si="3"/>
      </c>
    </row>
    <row r="133" ht="12.75">
      <c r="A133">
        <f t="shared" si="3"/>
      </c>
    </row>
    <row r="134" ht="12.75">
      <c r="A134">
        <f t="shared" si="3"/>
      </c>
    </row>
    <row r="135" ht="12.75">
      <c r="A135">
        <f t="shared" si="3"/>
      </c>
    </row>
    <row r="136" ht="12.75">
      <c r="A136">
        <f t="shared" si="3"/>
      </c>
    </row>
    <row r="137" ht="12.75">
      <c r="A137">
        <f t="shared" si="3"/>
      </c>
    </row>
    <row r="138" ht="12.75">
      <c r="A138">
        <f t="shared" si="3"/>
      </c>
    </row>
    <row r="139" ht="12.75">
      <c r="A139">
        <f t="shared" si="3"/>
      </c>
    </row>
    <row r="140" ht="12.75">
      <c r="A140">
        <f t="shared" si="3"/>
      </c>
    </row>
    <row r="141" ht="12.75">
      <c r="A141">
        <f t="shared" si="3"/>
      </c>
    </row>
    <row r="142" ht="12.75">
      <c r="A142">
        <f t="shared" si="3"/>
      </c>
    </row>
    <row r="143" ht="12.75">
      <c r="A143">
        <f t="shared" si="3"/>
      </c>
    </row>
    <row r="144" ht="12.75">
      <c r="A144">
        <f t="shared" si="3"/>
      </c>
    </row>
    <row r="145" ht="12.75">
      <c r="A145">
        <f t="shared" si="3"/>
      </c>
    </row>
    <row r="146" ht="12.75">
      <c r="A146">
        <f t="shared" si="3"/>
      </c>
    </row>
  </sheetData>
  <autoFilter ref="A1:N146"/>
  <conditionalFormatting sqref="I94 H129:H65536 H1:H125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0" sqref="K20"/>
    </sheetView>
  </sheetViews>
  <sheetFormatPr defaultColWidth="9.140625" defaultRowHeight="12.75"/>
  <cols>
    <col min="1" max="1" width="4.00390625" style="0" bestFit="1" customWidth="1"/>
    <col min="2" max="2" width="9.140625" style="10" customWidth="1"/>
    <col min="3" max="3" width="13.8515625" style="0" bestFit="1" customWidth="1"/>
    <col min="4" max="4" width="6.28125" style="0" bestFit="1" customWidth="1"/>
    <col min="5" max="5" width="7.140625" style="0" bestFit="1" customWidth="1"/>
    <col min="6" max="6" width="8.57421875" style="0" bestFit="1" customWidth="1"/>
    <col min="7" max="7" width="11.421875" style="0" bestFit="1" customWidth="1"/>
    <col min="8" max="8" width="10.00390625" style="0" bestFit="1" customWidth="1"/>
    <col min="9" max="9" width="14.00390625" style="0" bestFit="1" customWidth="1"/>
    <col min="10" max="10" width="8.00390625" style="0" bestFit="1" customWidth="1"/>
    <col min="11" max="11" width="36.28125" style="0" bestFit="1" customWidth="1"/>
    <col min="12" max="12" width="13.8515625" style="0" bestFit="1" customWidth="1"/>
  </cols>
  <sheetData>
    <row r="1" spans="1:13" ht="12.75">
      <c r="A1" s="1" t="s">
        <v>4</v>
      </c>
      <c r="B1" s="14" t="s">
        <v>10</v>
      </c>
      <c r="C1" s="1" t="s">
        <v>11</v>
      </c>
      <c r="D1" s="1" t="s">
        <v>147</v>
      </c>
      <c r="E1" s="1" t="s">
        <v>468</v>
      </c>
      <c r="F1" s="2" t="s">
        <v>0</v>
      </c>
      <c r="G1" s="1" t="s">
        <v>512</v>
      </c>
      <c r="H1" s="1" t="s">
        <v>15</v>
      </c>
      <c r="I1" s="1" t="s">
        <v>9</v>
      </c>
      <c r="J1" s="1" t="s">
        <v>570</v>
      </c>
      <c r="K1" s="1" t="s">
        <v>12</v>
      </c>
      <c r="L1" s="1" t="s">
        <v>20</v>
      </c>
      <c r="M1" s="1"/>
    </row>
    <row r="2" spans="1:12" s="70" customFormat="1" ht="12.75">
      <c r="A2" s="68">
        <f aca="true" t="shared" si="0" ref="A2:A27">ROW(A1)</f>
        <v>1</v>
      </c>
      <c r="B2" s="69">
        <v>32327</v>
      </c>
      <c r="C2" s="70" t="s">
        <v>65</v>
      </c>
      <c r="D2" s="70" t="s">
        <v>521</v>
      </c>
      <c r="E2" s="70" t="s">
        <v>473</v>
      </c>
      <c r="F2" s="71" t="s">
        <v>276</v>
      </c>
      <c r="G2" s="70">
        <v>10.5</v>
      </c>
      <c r="H2" s="70">
        <v>3</v>
      </c>
      <c r="K2" s="70" t="s">
        <v>525</v>
      </c>
      <c r="L2" s="70" t="s">
        <v>245</v>
      </c>
    </row>
    <row r="3" spans="1:11" ht="12.75">
      <c r="A3" s="68">
        <f t="shared" si="0"/>
        <v>2</v>
      </c>
      <c r="B3" s="10">
        <v>33373</v>
      </c>
      <c r="C3" t="s">
        <v>566</v>
      </c>
      <c r="E3" t="s">
        <v>473</v>
      </c>
      <c r="F3" t="s">
        <v>52</v>
      </c>
      <c r="G3">
        <v>56</v>
      </c>
      <c r="H3" s="16">
        <v>11</v>
      </c>
      <c r="I3" s="5">
        <f>G3/J3/24</f>
        <v>0.059676044330775786</v>
      </c>
      <c r="J3" s="13">
        <v>39.1</v>
      </c>
      <c r="K3" t="s">
        <v>243</v>
      </c>
    </row>
    <row r="4" spans="1:11" ht="12.75">
      <c r="A4" s="68">
        <f t="shared" si="0"/>
        <v>3</v>
      </c>
      <c r="B4" s="10">
        <v>33501</v>
      </c>
      <c r="C4" t="s">
        <v>580</v>
      </c>
      <c r="E4" t="s">
        <v>473</v>
      </c>
      <c r="F4" t="s">
        <v>242</v>
      </c>
      <c r="G4">
        <v>14.1</v>
      </c>
      <c r="H4" s="16">
        <v>2</v>
      </c>
      <c r="I4" s="5">
        <v>0.014050925925925927</v>
      </c>
      <c r="J4" s="13">
        <f>(G4)/((I4-INT(I4))*24)</f>
        <v>41.81219110378912</v>
      </c>
      <c r="K4" t="s">
        <v>243</v>
      </c>
    </row>
    <row r="5" spans="1:11" ht="12.75">
      <c r="A5" s="68">
        <f t="shared" si="0"/>
        <v>4</v>
      </c>
      <c r="B5" s="10">
        <v>34869</v>
      </c>
      <c r="C5" t="s">
        <v>241</v>
      </c>
      <c r="E5" t="s">
        <v>473</v>
      </c>
      <c r="F5" t="s">
        <v>242</v>
      </c>
      <c r="G5">
        <v>12.5</v>
      </c>
      <c r="H5" s="16">
        <v>1</v>
      </c>
      <c r="I5" s="5">
        <v>0.011550925925925925</v>
      </c>
      <c r="J5" s="13">
        <f>(G5)/((I5-INT(I5))*24)</f>
        <v>45.09018036072145</v>
      </c>
      <c r="K5" t="s">
        <v>604</v>
      </c>
    </row>
    <row r="6" spans="1:10" ht="12.75">
      <c r="A6" s="68">
        <f t="shared" si="0"/>
        <v>5</v>
      </c>
      <c r="B6" s="10">
        <v>35109</v>
      </c>
      <c r="C6" t="s">
        <v>265</v>
      </c>
      <c r="D6" t="s">
        <v>266</v>
      </c>
      <c r="E6" t="s">
        <v>473</v>
      </c>
      <c r="F6" t="s">
        <v>242</v>
      </c>
      <c r="G6">
        <v>4</v>
      </c>
      <c r="H6" s="16">
        <v>4</v>
      </c>
      <c r="I6" s="5">
        <v>0.008692129629629631</v>
      </c>
      <c r="J6" s="13">
        <f>(G6)/((I6-INT(I6))*24)</f>
        <v>19.17443408788282</v>
      </c>
    </row>
    <row r="7" spans="1:11" ht="12.75">
      <c r="A7" s="68">
        <f t="shared" si="0"/>
        <v>6</v>
      </c>
      <c r="B7" s="10">
        <v>35214</v>
      </c>
      <c r="C7" t="s">
        <v>25</v>
      </c>
      <c r="E7" t="s">
        <v>473</v>
      </c>
      <c r="F7" t="s">
        <v>276</v>
      </c>
      <c r="H7" s="16">
        <v>3</v>
      </c>
      <c r="J7">
        <v>39.8</v>
      </c>
      <c r="K7" t="s">
        <v>243</v>
      </c>
    </row>
    <row r="8" spans="1:11" ht="12.75">
      <c r="A8" s="68">
        <f t="shared" si="0"/>
        <v>7</v>
      </c>
      <c r="B8" s="10">
        <v>35221</v>
      </c>
      <c r="C8" t="s">
        <v>279</v>
      </c>
      <c r="E8" t="s">
        <v>473</v>
      </c>
      <c r="F8" t="s">
        <v>242</v>
      </c>
      <c r="G8">
        <v>26.915</v>
      </c>
      <c r="H8" s="16">
        <v>5</v>
      </c>
      <c r="I8" s="5">
        <v>0.02497685185185185</v>
      </c>
      <c r="J8" s="13">
        <f>(G8)/((I8-INT(I8))*24)</f>
        <v>44.899907321594064</v>
      </c>
      <c r="K8" t="s">
        <v>280</v>
      </c>
    </row>
    <row r="9" spans="1:10" ht="12.75">
      <c r="A9" s="68">
        <f t="shared" si="0"/>
        <v>8</v>
      </c>
      <c r="B9" s="10">
        <v>36169</v>
      </c>
      <c r="C9" t="s">
        <v>338</v>
      </c>
      <c r="E9" t="s">
        <v>473</v>
      </c>
      <c r="F9" t="s">
        <v>339</v>
      </c>
      <c r="G9">
        <v>35</v>
      </c>
      <c r="H9" s="16">
        <v>16</v>
      </c>
      <c r="I9" s="5">
        <v>0.053425925925925925</v>
      </c>
      <c r="J9" s="13">
        <f>(G9)/((I9-INT(I9))*24)</f>
        <v>27.296360485268632</v>
      </c>
    </row>
    <row r="10" spans="1:10" ht="12.75">
      <c r="A10" s="68">
        <f t="shared" si="0"/>
        <v>9</v>
      </c>
      <c r="B10" s="10">
        <v>36197</v>
      </c>
      <c r="C10" t="s">
        <v>340</v>
      </c>
      <c r="D10" t="s">
        <v>304</v>
      </c>
      <c r="E10" t="s">
        <v>473</v>
      </c>
      <c r="F10" t="s">
        <v>52</v>
      </c>
      <c r="G10">
        <v>100</v>
      </c>
      <c r="H10" s="16">
        <v>7</v>
      </c>
      <c r="I10" s="5">
        <v>0.10449074074074073</v>
      </c>
      <c r="J10" s="13">
        <f>(G10)/((I10-INT(I10))*24)</f>
        <v>39.87594151528578</v>
      </c>
    </row>
    <row r="11" spans="1:11" ht="12.75">
      <c r="A11" s="68">
        <f t="shared" si="0"/>
        <v>10</v>
      </c>
      <c r="B11" s="10">
        <v>36293</v>
      </c>
      <c r="C11" t="s">
        <v>347</v>
      </c>
      <c r="D11" t="s">
        <v>148</v>
      </c>
      <c r="E11" t="s">
        <v>473</v>
      </c>
      <c r="F11" t="s">
        <v>486</v>
      </c>
      <c r="G11">
        <v>18</v>
      </c>
      <c r="H11" s="16">
        <v>17</v>
      </c>
      <c r="I11" s="5">
        <v>0.01800925925925926</v>
      </c>
      <c r="J11" s="13">
        <f>(G11)/((I11-INT(I11))*24)</f>
        <v>41.645244215938305</v>
      </c>
      <c r="K11" t="s">
        <v>349</v>
      </c>
    </row>
    <row r="12" spans="1:10" ht="12.75">
      <c r="A12" s="68">
        <f t="shared" si="0"/>
        <v>11</v>
      </c>
      <c r="B12" s="10">
        <v>36572</v>
      </c>
      <c r="C12" t="s">
        <v>265</v>
      </c>
      <c r="D12" t="s">
        <v>266</v>
      </c>
      <c r="E12" t="s">
        <v>473</v>
      </c>
      <c r="F12" t="s">
        <v>242</v>
      </c>
      <c r="G12">
        <v>7</v>
      </c>
      <c r="H12" s="16"/>
      <c r="I12" s="5">
        <v>0.012824074074074073</v>
      </c>
      <c r="J12" s="13">
        <f>(G12)/((I12-INT(I12))*24)</f>
        <v>22.743682310469314</v>
      </c>
    </row>
    <row r="13" spans="1:11" ht="12.75">
      <c r="A13" s="68">
        <f t="shared" si="0"/>
        <v>12</v>
      </c>
      <c r="B13" s="10">
        <v>36766</v>
      </c>
      <c r="C13" t="s">
        <v>411</v>
      </c>
      <c r="E13" t="s">
        <v>473</v>
      </c>
      <c r="F13" t="s">
        <v>52</v>
      </c>
      <c r="G13">
        <v>30</v>
      </c>
      <c r="H13" s="16">
        <v>2</v>
      </c>
      <c r="I13" s="5"/>
      <c r="J13" s="13"/>
      <c r="K13" t="s">
        <v>380</v>
      </c>
    </row>
    <row r="14" spans="1:11" ht="12.75">
      <c r="A14" s="68">
        <f t="shared" si="0"/>
        <v>13</v>
      </c>
      <c r="B14" s="10">
        <v>36900</v>
      </c>
      <c r="C14" t="s">
        <v>338</v>
      </c>
      <c r="E14" t="s">
        <v>473</v>
      </c>
      <c r="F14" t="s">
        <v>339</v>
      </c>
      <c r="G14">
        <v>35</v>
      </c>
      <c r="H14" s="16">
        <v>31</v>
      </c>
      <c r="I14" s="5">
        <v>0.05625</v>
      </c>
      <c r="J14" s="13">
        <f aca="true" t="shared" si="1" ref="J14:J20">(G14)/((I14-INT(I14))*24)</f>
        <v>25.925925925925924</v>
      </c>
      <c r="K14" t="s">
        <v>527</v>
      </c>
    </row>
    <row r="15" spans="1:10" ht="12.75">
      <c r="A15" s="68">
        <f t="shared" si="0"/>
        <v>14</v>
      </c>
      <c r="B15" s="10">
        <v>37268</v>
      </c>
      <c r="C15" t="s">
        <v>338</v>
      </c>
      <c r="E15" t="s">
        <v>473</v>
      </c>
      <c r="F15" t="s">
        <v>339</v>
      </c>
      <c r="G15">
        <v>35</v>
      </c>
      <c r="H15" s="16">
        <v>86</v>
      </c>
      <c r="I15" s="5">
        <v>0.06430555555555556</v>
      </c>
      <c r="J15" s="13">
        <f t="shared" si="1"/>
        <v>22.678185745140386</v>
      </c>
    </row>
    <row r="16" spans="1:11" ht="12.75">
      <c r="A16" s="68">
        <f t="shared" si="0"/>
        <v>15</v>
      </c>
      <c r="B16" s="10">
        <v>37562</v>
      </c>
      <c r="C16" t="s">
        <v>409</v>
      </c>
      <c r="E16" t="s">
        <v>473</v>
      </c>
      <c r="F16" t="s">
        <v>52</v>
      </c>
      <c r="G16">
        <v>87</v>
      </c>
      <c r="H16" s="16">
        <v>20</v>
      </c>
      <c r="I16" s="5">
        <v>0.09109953703703703</v>
      </c>
      <c r="J16" s="13">
        <f t="shared" si="1"/>
        <v>39.791640198195914</v>
      </c>
      <c r="K16" t="s">
        <v>410</v>
      </c>
    </row>
    <row r="17" spans="1:10" ht="12.75">
      <c r="A17" s="68">
        <f t="shared" si="0"/>
        <v>16</v>
      </c>
      <c r="B17" s="10">
        <v>37632</v>
      </c>
      <c r="C17" t="s">
        <v>338</v>
      </c>
      <c r="E17" t="s">
        <v>473</v>
      </c>
      <c r="F17" t="s">
        <v>339</v>
      </c>
      <c r="G17">
        <v>35</v>
      </c>
      <c r="H17" s="16"/>
      <c r="I17" s="5">
        <v>0.04837962962962963</v>
      </c>
      <c r="J17" s="13">
        <f t="shared" si="1"/>
        <v>30.143540669856463</v>
      </c>
    </row>
    <row r="18" spans="1:11" ht="12.75">
      <c r="A18" s="68">
        <f t="shared" si="0"/>
        <v>17</v>
      </c>
      <c r="B18" s="10">
        <v>37899</v>
      </c>
      <c r="C18" t="s">
        <v>475</v>
      </c>
      <c r="E18" t="s">
        <v>473</v>
      </c>
      <c r="F18" t="s">
        <v>339</v>
      </c>
      <c r="G18">
        <v>50</v>
      </c>
      <c r="H18" s="16">
        <v>108</v>
      </c>
      <c r="I18" s="5">
        <v>0.0845601851851852</v>
      </c>
      <c r="J18" s="13">
        <f t="shared" si="1"/>
        <v>24.63728442376129</v>
      </c>
      <c r="K18" t="s">
        <v>474</v>
      </c>
    </row>
    <row r="19" spans="1:10" ht="12.75">
      <c r="A19" s="68">
        <f t="shared" si="0"/>
        <v>18</v>
      </c>
      <c r="B19" s="10">
        <v>37996</v>
      </c>
      <c r="C19" t="s">
        <v>338</v>
      </c>
      <c r="E19" t="s">
        <v>473</v>
      </c>
      <c r="F19" t="s">
        <v>339</v>
      </c>
      <c r="G19">
        <v>36</v>
      </c>
      <c r="H19" s="16">
        <v>60</v>
      </c>
      <c r="I19" s="5">
        <v>0.05618055555555556</v>
      </c>
      <c r="J19" s="13">
        <f t="shared" si="1"/>
        <v>26.699629171817058</v>
      </c>
    </row>
    <row r="20" spans="1:11" ht="12.75">
      <c r="A20" s="68">
        <f t="shared" si="0"/>
        <v>19</v>
      </c>
      <c r="B20" s="10">
        <v>40406</v>
      </c>
      <c r="C20" t="s">
        <v>25</v>
      </c>
      <c r="E20" t="s">
        <v>473</v>
      </c>
      <c r="F20" t="s">
        <v>242</v>
      </c>
      <c r="G20">
        <v>8.2</v>
      </c>
      <c r="H20" s="16">
        <v>8</v>
      </c>
      <c r="I20" s="5">
        <v>0.008020833333333333</v>
      </c>
      <c r="J20" s="13">
        <f t="shared" si="1"/>
        <v>42.59740259740259</v>
      </c>
      <c r="K20" t="s">
        <v>612</v>
      </c>
    </row>
    <row r="21" spans="1:10" ht="12.75">
      <c r="A21" s="68">
        <f t="shared" si="0"/>
        <v>20</v>
      </c>
      <c r="H21" s="16"/>
      <c r="I21" s="5"/>
      <c r="J21" s="13"/>
    </row>
    <row r="22" spans="1:10" ht="12.75">
      <c r="A22" s="68">
        <f t="shared" si="0"/>
        <v>21</v>
      </c>
      <c r="H22" s="16"/>
      <c r="I22" s="5"/>
      <c r="J22" s="13"/>
    </row>
    <row r="23" ht="12.75">
      <c r="A23" s="68">
        <f t="shared" si="0"/>
        <v>22</v>
      </c>
    </row>
    <row r="24" spans="1:8" ht="12.75">
      <c r="A24" s="68">
        <f t="shared" si="0"/>
        <v>23</v>
      </c>
      <c r="H24" s="6">
        <f>COUNTIF(H2:H23,"1")</f>
        <v>1</v>
      </c>
    </row>
    <row r="25" spans="1:8" ht="12.75">
      <c r="A25" s="68">
        <f t="shared" si="0"/>
        <v>24</v>
      </c>
      <c r="H25" s="7">
        <f>COUNTIF(H2:H23,"2")</f>
        <v>2</v>
      </c>
    </row>
    <row r="26" spans="1:8" ht="12.75">
      <c r="A26" s="68">
        <f t="shared" si="0"/>
        <v>25</v>
      </c>
      <c r="H26" s="72">
        <f>COUNTIF(H2:H23,"3")</f>
        <v>2</v>
      </c>
    </row>
    <row r="27" spans="1:8" ht="12.75">
      <c r="A27" s="68">
        <f t="shared" si="0"/>
        <v>26</v>
      </c>
      <c r="G27" t="s">
        <v>223</v>
      </c>
      <c r="H27">
        <f>SUM(H24:H26)</f>
        <v>5</v>
      </c>
    </row>
  </sheetData>
  <autoFilter ref="A1:N1"/>
  <conditionalFormatting sqref="H1:H23 H28:H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3" operator="equal" stopIfTrue="1">
      <formula>3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4.00390625" style="0" bestFit="1" customWidth="1"/>
    <col min="2" max="2" width="10.140625" style="10" bestFit="1" customWidth="1"/>
    <col min="3" max="3" width="10.28125" style="0" bestFit="1" customWidth="1"/>
    <col min="4" max="4" width="6.28125" style="0" bestFit="1" customWidth="1"/>
    <col min="5" max="5" width="9.8515625" style="0" bestFit="1" customWidth="1"/>
    <col min="6" max="6" width="10.8515625" style="0" bestFit="1" customWidth="1"/>
    <col min="7" max="7" width="11.421875" style="0" bestFit="1" customWidth="1"/>
    <col min="8" max="8" width="10.00390625" style="0" bestFit="1" customWidth="1"/>
    <col min="9" max="9" width="14.00390625" style="0" bestFit="1" customWidth="1"/>
    <col min="10" max="10" width="8.00390625" style="0" bestFit="1" customWidth="1"/>
    <col min="11" max="11" width="22.28125" style="0" bestFit="1" customWidth="1"/>
    <col min="12" max="12" width="13.8515625" style="0" bestFit="1" customWidth="1"/>
    <col min="13" max="13" width="11.7109375" style="0" bestFit="1" customWidth="1"/>
  </cols>
  <sheetData>
    <row r="1" spans="1:13" ht="12.75">
      <c r="A1" s="1" t="s">
        <v>4</v>
      </c>
      <c r="B1" s="14" t="s">
        <v>10</v>
      </c>
      <c r="C1" s="1" t="s">
        <v>11</v>
      </c>
      <c r="D1" s="1" t="s">
        <v>147</v>
      </c>
      <c r="E1" s="1" t="s">
        <v>468</v>
      </c>
      <c r="F1" s="2" t="s">
        <v>0</v>
      </c>
      <c r="G1" s="1" t="s">
        <v>14</v>
      </c>
      <c r="H1" s="1" t="s">
        <v>15</v>
      </c>
      <c r="I1" s="1" t="s">
        <v>9</v>
      </c>
      <c r="J1" s="1" t="s">
        <v>54</v>
      </c>
      <c r="K1" s="1" t="s">
        <v>12</v>
      </c>
      <c r="L1" s="1" t="s">
        <v>20</v>
      </c>
      <c r="M1" s="1"/>
    </row>
    <row r="2" spans="1:11" ht="12.75">
      <c r="A2" s="1"/>
      <c r="B2" s="14"/>
      <c r="C2" s="1"/>
      <c r="D2" s="1"/>
      <c r="E2" s="1"/>
      <c r="F2" s="2"/>
      <c r="G2" s="1" t="s">
        <v>17</v>
      </c>
      <c r="H2" s="34"/>
      <c r="I2" s="1"/>
      <c r="J2" s="1" t="s">
        <v>216</v>
      </c>
      <c r="K2" s="1"/>
    </row>
    <row r="3" spans="1:10" ht="12.75">
      <c r="A3">
        <f aca="true" t="shared" si="0" ref="A3:A17">ROW(A1)</f>
        <v>1</v>
      </c>
      <c r="B3" s="10">
        <v>34718</v>
      </c>
      <c r="C3" t="s">
        <v>215</v>
      </c>
      <c r="E3" t="s">
        <v>479</v>
      </c>
      <c r="F3" t="s">
        <v>483</v>
      </c>
      <c r="G3">
        <v>0.5</v>
      </c>
      <c r="H3" s="18"/>
      <c r="I3" s="27">
        <v>0.0005851851851851852</v>
      </c>
      <c r="J3" s="13">
        <f aca="true" t="shared" si="1" ref="J3:J17">(G3)/((I3-INT(I3))*24)</f>
        <v>35.601265822784804</v>
      </c>
    </row>
    <row r="4" spans="1:10" ht="12.75">
      <c r="A4">
        <f t="shared" si="0"/>
        <v>2</v>
      </c>
      <c r="B4" s="10">
        <v>34718</v>
      </c>
      <c r="C4" t="s">
        <v>215</v>
      </c>
      <c r="E4" t="s">
        <v>479</v>
      </c>
      <c r="F4" t="s">
        <v>483</v>
      </c>
      <c r="G4">
        <v>1</v>
      </c>
      <c r="H4" s="18"/>
      <c r="I4" s="27">
        <v>0.0011782407407407408</v>
      </c>
      <c r="J4" s="13">
        <f t="shared" si="1"/>
        <v>35.36345776031434</v>
      </c>
    </row>
    <row r="5" spans="1:10" ht="12.75">
      <c r="A5">
        <f t="shared" si="0"/>
        <v>3</v>
      </c>
      <c r="B5" s="10">
        <v>34718</v>
      </c>
      <c r="C5" t="s">
        <v>215</v>
      </c>
      <c r="E5" t="s">
        <v>479</v>
      </c>
      <c r="F5" t="s">
        <v>483</v>
      </c>
      <c r="G5">
        <v>1.5</v>
      </c>
      <c r="H5" s="18"/>
      <c r="I5" s="27">
        <v>0.0017672453703703702</v>
      </c>
      <c r="J5" s="13">
        <f t="shared" si="1"/>
        <v>35.365773790032094</v>
      </c>
    </row>
    <row r="6" spans="1:10" ht="12.75">
      <c r="A6">
        <f t="shared" si="0"/>
        <v>4</v>
      </c>
      <c r="B6" s="10">
        <v>34718</v>
      </c>
      <c r="C6" t="s">
        <v>215</v>
      </c>
      <c r="E6" t="s">
        <v>479</v>
      </c>
      <c r="F6" t="s">
        <v>483</v>
      </c>
      <c r="G6">
        <v>5</v>
      </c>
      <c r="H6" s="18"/>
      <c r="I6" s="27">
        <v>0.006421180555555555</v>
      </c>
      <c r="J6" s="13">
        <f t="shared" si="1"/>
        <v>32.44470880873845</v>
      </c>
    </row>
    <row r="7" spans="1:11" ht="12.75">
      <c r="A7">
        <f t="shared" si="0"/>
        <v>5</v>
      </c>
      <c r="B7" s="10">
        <v>36879</v>
      </c>
      <c r="C7" t="s">
        <v>215</v>
      </c>
      <c r="E7" t="s">
        <v>479</v>
      </c>
      <c r="F7" t="s">
        <v>483</v>
      </c>
      <c r="G7">
        <v>0.5</v>
      </c>
      <c r="H7" s="18"/>
      <c r="I7" s="27">
        <v>0.0008449074074074075</v>
      </c>
      <c r="J7" s="13">
        <f t="shared" si="1"/>
        <v>24.65753424657534</v>
      </c>
      <c r="K7" t="s">
        <v>524</v>
      </c>
    </row>
    <row r="8" spans="1:10" ht="12.75">
      <c r="A8">
        <f t="shared" si="0"/>
        <v>6</v>
      </c>
      <c r="B8" s="10">
        <v>36879</v>
      </c>
      <c r="C8" t="s">
        <v>215</v>
      </c>
      <c r="E8" t="s">
        <v>479</v>
      </c>
      <c r="F8" t="s">
        <v>483</v>
      </c>
      <c r="G8">
        <v>1.5</v>
      </c>
      <c r="H8" s="18"/>
      <c r="I8" s="27">
        <v>0.0017708333333333332</v>
      </c>
      <c r="J8" s="13">
        <f t="shared" si="1"/>
        <v>35.294117647058826</v>
      </c>
    </row>
    <row r="9" spans="1:10" ht="12.75">
      <c r="A9">
        <f t="shared" si="0"/>
        <v>7</v>
      </c>
      <c r="B9" s="10">
        <v>37303</v>
      </c>
      <c r="C9" t="s">
        <v>215</v>
      </c>
      <c r="E9" t="s">
        <v>479</v>
      </c>
      <c r="F9" t="s">
        <v>483</v>
      </c>
      <c r="G9">
        <v>0.5</v>
      </c>
      <c r="H9" s="18"/>
      <c r="I9" s="27">
        <v>0.0005944444444444444</v>
      </c>
      <c r="J9" s="13">
        <f t="shared" si="1"/>
        <v>35.046728971962615</v>
      </c>
    </row>
    <row r="10" spans="1:10" ht="12.75">
      <c r="A10">
        <f t="shared" si="0"/>
        <v>8</v>
      </c>
      <c r="B10" s="10">
        <v>37999</v>
      </c>
      <c r="C10" t="s">
        <v>215</v>
      </c>
      <c r="E10" t="s">
        <v>479</v>
      </c>
      <c r="F10" t="s">
        <v>483</v>
      </c>
      <c r="G10">
        <v>0.5</v>
      </c>
      <c r="H10" s="18"/>
      <c r="I10" s="27">
        <v>0.0005795138888888889</v>
      </c>
      <c r="J10" s="13">
        <f t="shared" si="1"/>
        <v>35.94967046135411</v>
      </c>
    </row>
    <row r="11" spans="1:11" ht="12.75">
      <c r="A11">
        <f t="shared" si="0"/>
        <v>9</v>
      </c>
      <c r="B11" s="10">
        <v>38002</v>
      </c>
      <c r="C11" t="s">
        <v>215</v>
      </c>
      <c r="E11" t="s">
        <v>479</v>
      </c>
      <c r="F11" t="s">
        <v>480</v>
      </c>
      <c r="G11">
        <v>15</v>
      </c>
      <c r="H11" s="18">
        <v>3</v>
      </c>
      <c r="I11" s="5">
        <v>0.018935185185185183</v>
      </c>
      <c r="J11" s="13">
        <f t="shared" si="1"/>
        <v>33.007334963325185</v>
      </c>
      <c r="K11" t="s">
        <v>482</v>
      </c>
    </row>
    <row r="12" spans="1:10" ht="12.75">
      <c r="A12">
        <f t="shared" si="0"/>
        <v>10</v>
      </c>
      <c r="B12" s="10">
        <v>38041</v>
      </c>
      <c r="C12" t="s">
        <v>215</v>
      </c>
      <c r="E12" t="s">
        <v>479</v>
      </c>
      <c r="F12" t="s">
        <v>483</v>
      </c>
      <c r="G12">
        <v>3</v>
      </c>
      <c r="H12" s="18"/>
      <c r="I12" s="5">
        <v>0.0035185185185185185</v>
      </c>
      <c r="J12" s="13">
        <f t="shared" si="1"/>
        <v>35.526315789473685</v>
      </c>
    </row>
    <row r="13" spans="1:10" ht="12.75">
      <c r="A13">
        <f t="shared" si="0"/>
        <v>11</v>
      </c>
      <c r="B13" s="10">
        <v>38342</v>
      </c>
      <c r="C13" t="s">
        <v>215</v>
      </c>
      <c r="E13" t="s">
        <v>479</v>
      </c>
      <c r="F13" t="s">
        <v>483</v>
      </c>
      <c r="G13">
        <v>3</v>
      </c>
      <c r="H13" s="18"/>
      <c r="I13" s="27">
        <v>0.0034287037037037033</v>
      </c>
      <c r="J13" s="13">
        <f t="shared" si="1"/>
        <v>36.45692681609506</v>
      </c>
    </row>
    <row r="14" spans="1:11" ht="12.75">
      <c r="A14">
        <f t="shared" si="0"/>
        <v>12</v>
      </c>
      <c r="B14" s="10">
        <v>38398</v>
      </c>
      <c r="C14" t="s">
        <v>215</v>
      </c>
      <c r="E14" t="s">
        <v>479</v>
      </c>
      <c r="F14" t="s">
        <v>480</v>
      </c>
      <c r="G14">
        <v>24</v>
      </c>
      <c r="H14" s="18">
        <v>19</v>
      </c>
      <c r="I14" s="5">
        <v>0.026180555555555558</v>
      </c>
      <c r="J14" s="13">
        <f t="shared" si="1"/>
        <v>38.196286472148536</v>
      </c>
      <c r="K14" t="s">
        <v>484</v>
      </c>
    </row>
    <row r="15" spans="1:10" ht="12.75">
      <c r="A15">
        <f t="shared" si="0"/>
        <v>13</v>
      </c>
      <c r="B15" s="10">
        <v>38412</v>
      </c>
      <c r="C15" t="s">
        <v>215</v>
      </c>
      <c r="E15" t="s">
        <v>479</v>
      </c>
      <c r="F15" t="s">
        <v>483</v>
      </c>
      <c r="G15">
        <v>0.5</v>
      </c>
      <c r="H15" s="18">
        <v>4</v>
      </c>
      <c r="I15" s="27">
        <v>0.000571412037037037</v>
      </c>
      <c r="J15" s="13">
        <f t="shared" si="1"/>
        <v>36.459388292485315</v>
      </c>
    </row>
    <row r="16" spans="1:10" ht="12.75">
      <c r="A16">
        <f t="shared" si="0"/>
        <v>14</v>
      </c>
      <c r="B16" s="10">
        <v>38412</v>
      </c>
      <c r="C16" t="s">
        <v>215</v>
      </c>
      <c r="E16" t="s">
        <v>479</v>
      </c>
      <c r="F16" t="s">
        <v>483</v>
      </c>
      <c r="G16">
        <v>1</v>
      </c>
      <c r="H16" s="18">
        <v>4</v>
      </c>
      <c r="I16" s="27">
        <v>0.0011606481481481483</v>
      </c>
      <c r="J16" s="13">
        <f t="shared" si="1"/>
        <v>35.899481451934584</v>
      </c>
    </row>
    <row r="17" spans="1:10" ht="12.75">
      <c r="A17">
        <f t="shared" si="0"/>
        <v>15</v>
      </c>
      <c r="B17" s="10">
        <v>38419</v>
      </c>
      <c r="C17" t="s">
        <v>215</v>
      </c>
      <c r="E17" t="s">
        <v>479</v>
      </c>
      <c r="F17" t="s">
        <v>483</v>
      </c>
      <c r="G17">
        <v>1.5</v>
      </c>
      <c r="H17" s="18"/>
      <c r="I17" s="27">
        <v>0.0016684027777777775</v>
      </c>
      <c r="J17" s="13">
        <f t="shared" si="1"/>
        <v>37.46097814776275</v>
      </c>
    </row>
    <row r="18" ht="12.75">
      <c r="H18" s="18"/>
    </row>
    <row r="19" ht="12.75">
      <c r="H19" s="18"/>
    </row>
    <row r="20" ht="12.75">
      <c r="H20" s="18"/>
    </row>
    <row r="21" ht="12.75">
      <c r="H21" s="18"/>
    </row>
    <row r="22" ht="12.75">
      <c r="H22" s="18"/>
    </row>
    <row r="24" ht="12.75">
      <c r="H24" s="67"/>
    </row>
    <row r="25" ht="12.75">
      <c r="H25" s="67"/>
    </row>
    <row r="26" ht="12.75">
      <c r="H26" s="67"/>
    </row>
    <row r="27" ht="12.75">
      <c r="H27" s="67"/>
    </row>
  </sheetData>
  <conditionalFormatting sqref="H1:H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3" operator="equal" stopIfTrue="1">
      <formula>3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="75" zoomScaleNormal="75" workbookViewId="0" topLeftCell="A1">
      <selection activeCell="A3" sqref="A3:A29"/>
    </sheetView>
  </sheetViews>
  <sheetFormatPr defaultColWidth="9.140625" defaultRowHeight="12.75"/>
  <cols>
    <col min="2" max="2" width="8.00390625" style="0" customWidth="1"/>
    <col min="3" max="3" width="24.8515625" style="0" bestFit="1" customWidth="1"/>
    <col min="7" max="7" width="23.140625" style="0" bestFit="1" customWidth="1"/>
  </cols>
  <sheetData>
    <row r="1" spans="1:7" s="1" customFormat="1" ht="12.75">
      <c r="A1" s="25" t="s">
        <v>4</v>
      </c>
      <c r="B1" s="1" t="s">
        <v>42</v>
      </c>
      <c r="C1" s="1" t="s">
        <v>43</v>
      </c>
      <c r="D1" s="1" t="s">
        <v>44</v>
      </c>
      <c r="E1" s="1" t="s">
        <v>46</v>
      </c>
      <c r="F1" s="1" t="s">
        <v>47</v>
      </c>
      <c r="G1" s="1" t="s">
        <v>20</v>
      </c>
    </row>
    <row r="2" spans="1:5" ht="12.75">
      <c r="A2">
        <f>ROW(A1)</f>
        <v>1</v>
      </c>
      <c r="B2">
        <v>1989</v>
      </c>
      <c r="C2" t="s">
        <v>45</v>
      </c>
      <c r="D2" s="16">
        <v>21</v>
      </c>
      <c r="E2">
        <v>29</v>
      </c>
    </row>
    <row r="3" spans="1:5" ht="12.75">
      <c r="A3">
        <f aca="true" t="shared" si="0" ref="A3:A29">ROW(A2)</f>
        <v>2</v>
      </c>
      <c r="B3">
        <v>1990</v>
      </c>
      <c r="C3" t="s">
        <v>45</v>
      </c>
      <c r="D3" s="16">
        <v>25</v>
      </c>
      <c r="E3">
        <v>19</v>
      </c>
    </row>
    <row r="4" spans="1:5" ht="12.75">
      <c r="A4">
        <f t="shared" si="0"/>
        <v>3</v>
      </c>
      <c r="B4" t="s">
        <v>60</v>
      </c>
      <c r="C4" t="s">
        <v>61</v>
      </c>
      <c r="D4" s="16">
        <v>12</v>
      </c>
      <c r="E4">
        <v>1427</v>
      </c>
    </row>
    <row r="5" spans="1:5" ht="12.75">
      <c r="A5">
        <f t="shared" si="0"/>
        <v>4</v>
      </c>
      <c r="B5">
        <v>1991</v>
      </c>
      <c r="C5" t="s">
        <v>45</v>
      </c>
      <c r="D5" s="16">
        <v>1</v>
      </c>
      <c r="E5">
        <v>98</v>
      </c>
    </row>
    <row r="6" spans="1:5" ht="12.75">
      <c r="A6">
        <f t="shared" si="0"/>
        <v>5</v>
      </c>
      <c r="B6">
        <v>1991</v>
      </c>
      <c r="C6" t="s">
        <v>49</v>
      </c>
      <c r="D6" s="16">
        <v>92</v>
      </c>
      <c r="E6">
        <v>2159</v>
      </c>
    </row>
    <row r="7" spans="1:5" ht="12.75">
      <c r="A7">
        <f t="shared" si="0"/>
        <v>6</v>
      </c>
      <c r="B7" t="s">
        <v>96</v>
      </c>
      <c r="C7" t="s">
        <v>97</v>
      </c>
      <c r="D7" s="16">
        <v>1</v>
      </c>
      <c r="E7">
        <v>1736</v>
      </c>
    </row>
    <row r="8" spans="1:5" ht="12.75">
      <c r="A8">
        <f t="shared" si="0"/>
        <v>7</v>
      </c>
      <c r="B8">
        <v>1992</v>
      </c>
      <c r="C8" t="s">
        <v>49</v>
      </c>
      <c r="D8" s="16">
        <v>7</v>
      </c>
      <c r="E8">
        <v>2474</v>
      </c>
    </row>
    <row r="9" spans="1:5" ht="12.75">
      <c r="A9">
        <f t="shared" si="0"/>
        <v>8</v>
      </c>
      <c r="B9">
        <v>1992</v>
      </c>
      <c r="C9" t="s">
        <v>105</v>
      </c>
      <c r="D9" s="16">
        <v>1</v>
      </c>
      <c r="E9">
        <v>1800</v>
      </c>
    </row>
    <row r="10" spans="1:5" ht="12.75">
      <c r="A10">
        <f t="shared" si="0"/>
        <v>9</v>
      </c>
      <c r="B10">
        <v>1993</v>
      </c>
      <c r="C10" t="s">
        <v>151</v>
      </c>
      <c r="D10" s="16">
        <v>30</v>
      </c>
      <c r="E10">
        <v>1029</v>
      </c>
    </row>
    <row r="11" spans="1:5" ht="12.75">
      <c r="A11">
        <f t="shared" si="0"/>
        <v>10</v>
      </c>
      <c r="B11">
        <v>1993</v>
      </c>
      <c r="C11" t="s">
        <v>49</v>
      </c>
      <c r="D11" s="16">
        <v>22</v>
      </c>
      <c r="E11">
        <v>2375</v>
      </c>
    </row>
    <row r="12" spans="1:5" ht="12.75">
      <c r="A12">
        <f t="shared" si="0"/>
        <v>11</v>
      </c>
      <c r="B12">
        <v>1994</v>
      </c>
      <c r="C12" t="s">
        <v>49</v>
      </c>
      <c r="D12" s="16">
        <v>17</v>
      </c>
      <c r="E12">
        <v>2401</v>
      </c>
    </row>
    <row r="13" spans="1:4" ht="12.75">
      <c r="A13">
        <f t="shared" si="0"/>
        <v>12</v>
      </c>
      <c r="B13">
        <v>1995</v>
      </c>
      <c r="C13" t="s">
        <v>259</v>
      </c>
      <c r="D13" s="16">
        <v>11</v>
      </c>
    </row>
    <row r="14" spans="1:7" ht="12.75">
      <c r="A14">
        <f t="shared" si="0"/>
        <v>13</v>
      </c>
      <c r="B14">
        <v>1995</v>
      </c>
      <c r="C14" t="s">
        <v>49</v>
      </c>
      <c r="D14" s="16">
        <v>7</v>
      </c>
      <c r="G14" t="s">
        <v>584</v>
      </c>
    </row>
    <row r="15" spans="1:5" ht="12.75">
      <c r="A15">
        <f t="shared" si="0"/>
        <v>14</v>
      </c>
      <c r="B15">
        <v>1996</v>
      </c>
      <c r="C15" t="s">
        <v>49</v>
      </c>
      <c r="D15" s="16">
        <v>1</v>
      </c>
      <c r="E15">
        <v>3859</v>
      </c>
    </row>
    <row r="16" spans="1:6" ht="12.75">
      <c r="A16">
        <f t="shared" si="0"/>
        <v>15</v>
      </c>
      <c r="B16">
        <v>1997</v>
      </c>
      <c r="C16" t="s">
        <v>48</v>
      </c>
      <c r="D16" s="16">
        <v>1</v>
      </c>
      <c r="F16" s="5">
        <v>0.30570601851851853</v>
      </c>
    </row>
    <row r="17" spans="1:4" ht="12.75">
      <c r="A17">
        <f t="shared" si="0"/>
        <v>16</v>
      </c>
      <c r="B17">
        <v>1997</v>
      </c>
      <c r="C17" t="s">
        <v>321</v>
      </c>
      <c r="D17" s="16">
        <v>1</v>
      </c>
    </row>
    <row r="18" spans="1:4" ht="12.75">
      <c r="A18">
        <f t="shared" si="0"/>
        <v>17</v>
      </c>
      <c r="B18">
        <v>1997</v>
      </c>
      <c r="C18" t="s">
        <v>499</v>
      </c>
      <c r="D18" s="16">
        <v>86</v>
      </c>
    </row>
    <row r="19" spans="1:5" ht="12.75">
      <c r="A19">
        <f t="shared" si="0"/>
        <v>18</v>
      </c>
      <c r="B19">
        <v>1998</v>
      </c>
      <c r="C19" t="s">
        <v>48</v>
      </c>
      <c r="D19" s="16">
        <v>3</v>
      </c>
      <c r="E19">
        <f>65+70+75</f>
        <v>210</v>
      </c>
    </row>
    <row r="20" spans="1:4" ht="12.75">
      <c r="A20">
        <f t="shared" si="0"/>
        <v>19</v>
      </c>
      <c r="B20">
        <v>1998</v>
      </c>
      <c r="C20" t="s">
        <v>499</v>
      </c>
      <c r="D20" s="16">
        <v>134</v>
      </c>
    </row>
    <row r="21" spans="1:4" ht="12.75">
      <c r="A21">
        <f t="shared" si="0"/>
        <v>20</v>
      </c>
      <c r="B21">
        <v>1999</v>
      </c>
      <c r="C21" t="s">
        <v>385</v>
      </c>
      <c r="D21" s="16">
        <v>4</v>
      </c>
    </row>
    <row r="22" spans="1:4" ht="12.75">
      <c r="A22">
        <f t="shared" si="0"/>
        <v>21</v>
      </c>
      <c r="B22">
        <v>1999</v>
      </c>
      <c r="C22" t="s">
        <v>349</v>
      </c>
      <c r="D22" s="16">
        <v>62</v>
      </c>
    </row>
    <row r="23" spans="1:5" ht="12.75">
      <c r="A23">
        <f t="shared" si="0"/>
        <v>22</v>
      </c>
      <c r="B23">
        <v>1999</v>
      </c>
      <c r="C23" t="s">
        <v>48</v>
      </c>
      <c r="D23" s="16">
        <v>4</v>
      </c>
      <c r="E23">
        <v>177</v>
      </c>
    </row>
    <row r="24" spans="1:5" ht="12.75">
      <c r="A24">
        <f t="shared" si="0"/>
        <v>23</v>
      </c>
      <c r="B24">
        <v>2001</v>
      </c>
      <c r="C24" t="s">
        <v>48</v>
      </c>
      <c r="D24" s="16">
        <v>7</v>
      </c>
      <c r="E24">
        <v>140</v>
      </c>
    </row>
    <row r="25" spans="1:6" ht="12.75">
      <c r="A25">
        <f t="shared" si="0"/>
        <v>24</v>
      </c>
      <c r="B25">
        <v>2001</v>
      </c>
      <c r="C25" t="s">
        <v>385</v>
      </c>
      <c r="D25" s="16">
        <v>3</v>
      </c>
      <c r="F25" s="5">
        <v>0.11094907407407407</v>
      </c>
    </row>
    <row r="26" spans="1:6" ht="12.75">
      <c r="A26">
        <f t="shared" si="0"/>
        <v>25</v>
      </c>
      <c r="B26">
        <v>2002</v>
      </c>
      <c r="C26" t="s">
        <v>385</v>
      </c>
      <c r="D26" s="16">
        <v>75</v>
      </c>
      <c r="F26" s="5">
        <v>0.13618055555555555</v>
      </c>
    </row>
    <row r="27" spans="1:4" ht="12.75">
      <c r="A27">
        <f t="shared" si="0"/>
        <v>26</v>
      </c>
      <c r="B27">
        <v>2003</v>
      </c>
      <c r="C27" t="s">
        <v>385</v>
      </c>
      <c r="D27" s="16">
        <v>1</v>
      </c>
    </row>
    <row r="28" spans="1:6" ht="12.75">
      <c r="A28">
        <f t="shared" si="0"/>
        <v>27</v>
      </c>
      <c r="B28">
        <v>2004</v>
      </c>
      <c r="C28" t="s">
        <v>385</v>
      </c>
      <c r="D28" s="16">
        <v>9</v>
      </c>
      <c r="F28" s="5">
        <v>0.11113425925925925</v>
      </c>
    </row>
    <row r="29" spans="1:6" ht="12.75">
      <c r="A29">
        <f t="shared" si="0"/>
        <v>28</v>
      </c>
      <c r="B29">
        <v>2004</v>
      </c>
      <c r="C29" t="s">
        <v>554</v>
      </c>
      <c r="D29" s="16">
        <v>1</v>
      </c>
      <c r="F29" s="5">
        <v>0.24673611111111113</v>
      </c>
    </row>
    <row r="30" ht="12.75">
      <c r="D30" s="16"/>
    </row>
    <row r="31" ht="12.75">
      <c r="D31" s="16"/>
    </row>
    <row r="33" ht="12.75">
      <c r="D33" s="6">
        <f>COUNTIF(D2:D32,"1")</f>
        <v>8</v>
      </c>
    </row>
    <row r="34" ht="12.75">
      <c r="D34" s="7">
        <f>COUNTIF(D2:D32,"2")</f>
        <v>0</v>
      </c>
    </row>
    <row r="35" ht="12.75">
      <c r="D35" s="72">
        <f>COUNTIF(D2:D32,"3")</f>
        <v>2</v>
      </c>
    </row>
    <row r="36" spans="3:4" ht="12.75">
      <c r="C36" t="s">
        <v>223</v>
      </c>
      <c r="D36">
        <f>SUM(D33:D35)</f>
        <v>10</v>
      </c>
    </row>
  </sheetData>
  <autoFilter ref="B1:G29"/>
  <conditionalFormatting sqref="D1:D34 D36:D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3" operator="equal" stopIfTrue="1">
      <formula>3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Gosselink Triathlon Promotions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Gosselink</dc:creator>
  <cp:keywords/>
  <dc:description/>
  <cp:lastModifiedBy>Gosselink</cp:lastModifiedBy>
  <dcterms:created xsi:type="dcterms:W3CDTF">2006-10-15T17:21:59Z</dcterms:created>
  <dcterms:modified xsi:type="dcterms:W3CDTF">2010-10-31T15:19:15Z</dcterms:modified>
  <cp:category/>
  <cp:version/>
  <cp:contentType/>
  <cp:contentStatus/>
</cp:coreProperties>
</file>